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defaultThemeVersion="124226"/>
  <mc:AlternateContent xmlns:mc="http://schemas.openxmlformats.org/markup-compatibility/2006">
    <mc:Choice Requires="x15">
      <x15ac:absPath xmlns:x15ac="http://schemas.microsoft.com/office/spreadsheetml/2010/11/ac" url="C:\Users\kanor\Downloads\"/>
    </mc:Choice>
  </mc:AlternateContent>
  <xr:revisionPtr revIDLastSave="0" documentId="13_ncr:1_{F531E23B-CDD1-4109-8C8F-A0BF63DA24B1}" xr6:coauthVersionLast="47" xr6:coauthVersionMax="47" xr10:uidLastSave="{00000000-0000-0000-0000-000000000000}"/>
  <bookViews>
    <workbookView xWindow="28680" yWindow="150" windowWidth="29040" windowHeight="16440" xr2:uid="{00000000-000D-0000-FFFF-FFFF00000000}"/>
  </bookViews>
  <sheets>
    <sheet name="Notes" sheetId="31" r:id="rId1"/>
    <sheet name="OUTPUTS --&gt;" sheetId="33" r:id="rId2"/>
    <sheet name="SICBL Profile" sheetId="29" r:id="rId3"/>
    <sheet name="Forecasting" sheetId="28" r:id="rId4"/>
    <sheet name="CALCULATIONS --&gt;" sheetId="32" r:id="rId5"/>
    <sheet name="CalculateAverages" sheetId="21" r:id="rId6"/>
    <sheet name="INPUTS -- &gt;" sheetId="30" r:id="rId7"/>
    <sheet name="Data" sheetId="1" r:id="rId8"/>
    <sheet name="Policy - updated" sheetId="27" r:id="rId9"/>
    <sheet name="Dispensing Days" sheetId="5" r:id="rId10"/>
    <sheet name="Test" sheetId="26" state="hidden" r:id="rId11"/>
    <sheet name="Policy - not updated" sheetId="24" state="hidden" r:id="rId12"/>
  </sheets>
  <externalReferences>
    <externalReference r:id="rId13"/>
  </externalReferences>
  <definedNames>
    <definedName name="DDMonth" localSheetId="11">'[1]Dispensing Days'!$A$3:$A$15</definedName>
    <definedName name="DDMonth">'Dispensing Days'!$A$3:$A$15</definedName>
    <definedName name="DDYear" localSheetId="11">'[1]Dispensing Days'!$A$3:$M$3</definedName>
    <definedName name="DDYear">'Dispensing Days'!$A$3:$S$3</definedName>
    <definedName name="DispensingDays" localSheetId="11">'[1]Dispensing Days'!$A$3:$M$15</definedName>
    <definedName name="DispensingDays">'Dispensing Days'!$A$3:$S$15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4" i="27" l="1"/>
  <c r="E31" i="27"/>
  <c r="E42" i="27"/>
  <c r="E41" i="27"/>
  <c r="E38" i="27"/>
  <c r="E35" i="27"/>
  <c r="E34" i="27"/>
  <c r="B20" i="29"/>
  <c r="B3" i="28" l="1"/>
  <c r="B2" i="29"/>
  <c r="C4" i="28" l="1"/>
  <c r="C5" i="28"/>
  <c r="C6" i="28"/>
  <c r="C7" i="28"/>
  <c r="C8" i="28"/>
  <c r="C9" i="28"/>
  <c r="C10" i="28"/>
  <c r="C11" i="28"/>
  <c r="C12" i="28"/>
  <c r="C13" i="28"/>
  <c r="C14" i="28"/>
  <c r="C15" i="28"/>
  <c r="C65" i="21" l="1"/>
  <c r="C66" i="21"/>
  <c r="C67" i="21"/>
  <c r="C68" i="21"/>
  <c r="C69" i="21"/>
  <c r="C70" i="21"/>
  <c r="C71" i="21"/>
  <c r="C72" i="21"/>
  <c r="C73" i="21"/>
  <c r="C74" i="21"/>
  <c r="C75" i="21"/>
  <c r="C64" i="21"/>
  <c r="D44" i="27" l="1"/>
  <c r="D43" i="27"/>
  <c r="D42" i="27"/>
  <c r="D41" i="27"/>
  <c r="E40" i="27"/>
  <c r="D40" i="27"/>
  <c r="E39" i="27"/>
  <c r="D39" i="27"/>
  <c r="C38" i="27"/>
  <c r="E37" i="27"/>
  <c r="C37" i="27"/>
  <c r="E36" i="27"/>
  <c r="C36" i="27"/>
  <c r="C35" i="27"/>
  <c r="C34" i="27"/>
  <c r="E33" i="27"/>
  <c r="E32" i="27"/>
  <c r="D31" i="27"/>
  <c r="E43" i="27" s="1"/>
  <c r="D30" i="27"/>
  <c r="D29" i="27"/>
  <c r="D28" i="27"/>
  <c r="C26" i="27"/>
  <c r="D26" i="27" s="1"/>
  <c r="D25" i="27"/>
  <c r="D24" i="27"/>
  <c r="D23" i="27"/>
  <c r="D22" i="27"/>
  <c r="C21" i="27"/>
  <c r="D21" i="27" s="1"/>
  <c r="D20" i="27"/>
  <c r="D19" i="27"/>
  <c r="D18" i="27"/>
  <c r="D17" i="27"/>
  <c r="D16" i="27"/>
  <c r="D15" i="27"/>
  <c r="D14" i="27"/>
  <c r="D13" i="27"/>
  <c r="D12" i="27"/>
  <c r="D11" i="27"/>
  <c r="D10" i="27"/>
  <c r="D9" i="27"/>
  <c r="D8" i="27"/>
  <c r="C7" i="27"/>
  <c r="D7" i="27" s="1"/>
  <c r="D6" i="27"/>
  <c r="D5" i="27"/>
  <c r="G30" i="26" l="1"/>
  <c r="G29" i="26"/>
  <c r="G28" i="26"/>
  <c r="G27" i="26"/>
  <c r="D6" i="24" l="1"/>
  <c r="D7" i="24"/>
  <c r="C8" i="24"/>
  <c r="D8" i="24" s="1"/>
  <c r="D9" i="24"/>
  <c r="D10" i="24"/>
  <c r="D11" i="24"/>
  <c r="D12" i="24"/>
  <c r="D13" i="24"/>
  <c r="D14" i="24"/>
  <c r="D15" i="24"/>
  <c r="D16" i="24"/>
  <c r="D17" i="24"/>
  <c r="D18" i="24"/>
  <c r="D19" i="24"/>
  <c r="D20" i="24"/>
  <c r="D21" i="24"/>
  <c r="D22" i="24"/>
  <c r="D23" i="24"/>
  <c r="D25" i="24"/>
  <c r="C4" i="21" l="1"/>
  <c r="C16" i="21"/>
  <c r="A64" i="21"/>
  <c r="C5" i="21"/>
  <c r="C17" i="21"/>
  <c r="C6" i="21"/>
  <c r="C18" i="21"/>
  <c r="C7" i="21"/>
  <c r="C19" i="21"/>
  <c r="C8" i="21"/>
  <c r="C20" i="21"/>
  <c r="C9" i="21"/>
  <c r="C21" i="21"/>
  <c r="C10" i="21"/>
  <c r="C22" i="21"/>
  <c r="C11" i="21"/>
  <c r="C12" i="21"/>
  <c r="C13" i="21"/>
  <c r="C14" i="21"/>
  <c r="C15" i="21"/>
  <c r="A4" i="21"/>
  <c r="A16" i="21"/>
  <c r="D16" i="21" s="1"/>
  <c r="A28" i="21"/>
  <c r="D28" i="21" s="1"/>
  <c r="A40" i="21"/>
  <c r="D41" i="21" s="1"/>
  <c r="A52" i="21"/>
  <c r="H7" i="1"/>
  <c r="H8" i="1"/>
  <c r="H9" i="1"/>
  <c r="H10" i="1"/>
  <c r="H11" i="1"/>
  <c r="H12" i="1"/>
  <c r="H13" i="1"/>
  <c r="H14" i="1"/>
  <c r="H15" i="1"/>
  <c r="H16" i="1"/>
  <c r="H17" i="1"/>
  <c r="H18" i="1"/>
  <c r="D64" i="21" l="1"/>
  <c r="E64" i="21" s="1"/>
  <c r="E16" i="21"/>
  <c r="D4" i="21"/>
  <c r="E4" i="21" s="1"/>
  <c r="D44" i="21"/>
  <c r="D68" i="21"/>
  <c r="E68" i="21" s="1"/>
  <c r="D66" i="21"/>
  <c r="E66" i="21" s="1"/>
  <c r="D73" i="21"/>
  <c r="E73" i="21" s="1"/>
  <c r="D69" i="21"/>
  <c r="E69" i="21" s="1"/>
  <c r="D75" i="21"/>
  <c r="E75" i="21" s="1"/>
  <c r="D67" i="21"/>
  <c r="E67" i="21" s="1"/>
  <c r="D74" i="21"/>
  <c r="E74" i="21" s="1"/>
  <c r="D65" i="21"/>
  <c r="E65" i="21" s="1"/>
  <c r="D71" i="21"/>
  <c r="E71" i="21" s="1"/>
  <c r="D70" i="21"/>
  <c r="E70" i="21" s="1"/>
  <c r="D72" i="21"/>
  <c r="E72" i="21" s="1"/>
  <c r="D53" i="21"/>
  <c r="D60" i="21"/>
  <c r="D62" i="21"/>
  <c r="D57" i="21"/>
  <c r="D58" i="21"/>
  <c r="D61" i="21"/>
  <c r="D63" i="21"/>
  <c r="D59" i="21"/>
  <c r="D29" i="21"/>
  <c r="D40" i="21"/>
  <c r="D13" i="21"/>
  <c r="E13" i="21" s="1"/>
  <c r="D5" i="21"/>
  <c r="E5" i="21" s="1"/>
  <c r="D27" i="21"/>
  <c r="D26" i="21"/>
  <c r="D25" i="21"/>
  <c r="D37" i="21"/>
  <c r="D22" i="21"/>
  <c r="E22" i="21" s="1"/>
  <c r="D23" i="21"/>
  <c r="D35" i="21"/>
  <c r="D21" i="21"/>
  <c r="E21" i="21" s="1"/>
  <c r="D56" i="21"/>
  <c r="D19" i="21"/>
  <c r="E19" i="21" s="1"/>
  <c r="D52" i="21"/>
  <c r="D18" i="21"/>
  <c r="E18" i="21" s="1"/>
  <c r="D9" i="21"/>
  <c r="E9" i="21" s="1"/>
  <c r="D11" i="21"/>
  <c r="E11" i="21" s="1"/>
  <c r="D15" i="21"/>
  <c r="E15" i="21" s="1"/>
  <c r="D7" i="21"/>
  <c r="E7" i="21" s="1"/>
  <c r="D17" i="21"/>
  <c r="E17" i="21" s="1"/>
  <c r="D24" i="21"/>
  <c r="D20" i="21"/>
  <c r="E20" i="21" s="1"/>
  <c r="D33" i="21"/>
  <c r="D39" i="21"/>
  <c r="D31" i="21"/>
  <c r="D48" i="21"/>
  <c r="D14" i="21"/>
  <c r="E14" i="21" s="1"/>
  <c r="D10" i="21"/>
  <c r="E10" i="21" s="1"/>
  <c r="D6" i="21"/>
  <c r="E6" i="21" s="1"/>
  <c r="D12" i="21"/>
  <c r="E12" i="21" s="1"/>
  <c r="D8" i="21"/>
  <c r="E8" i="21" s="1"/>
  <c r="D38" i="21"/>
  <c r="D34" i="21"/>
  <c r="D30" i="21"/>
  <c r="D36" i="21"/>
  <c r="D32" i="21"/>
  <c r="D50" i="21"/>
  <c r="D46" i="21"/>
  <c r="D42" i="21"/>
  <c r="D51" i="21"/>
  <c r="D47" i="21"/>
  <c r="D43" i="21"/>
  <c r="D49" i="21"/>
  <c r="D45" i="21"/>
  <c r="D54" i="21"/>
  <c r="D55" i="21"/>
  <c r="C23" i="21" l="1"/>
  <c r="E23" i="21" s="1"/>
  <c r="C24" i="21"/>
  <c r="E24" i="21" s="1"/>
  <c r="C25" i="21"/>
  <c r="E25" i="21" s="1"/>
  <c r="C26" i="21" l="1"/>
  <c r="E26" i="21" s="1"/>
  <c r="C27" i="21" l="1"/>
  <c r="E27" i="21" s="1"/>
  <c r="C28" i="21"/>
  <c r="E28" i="21" s="1"/>
  <c r="C29" i="21"/>
  <c r="E29" i="21" s="1"/>
  <c r="C30" i="21"/>
  <c r="E30" i="21" s="1"/>
  <c r="C31" i="21"/>
  <c r="E31" i="21" s="1"/>
  <c r="C32" i="21"/>
  <c r="E32" i="21" s="1"/>
  <c r="C33" i="21"/>
  <c r="E33" i="21" s="1"/>
  <c r="C34" i="21" l="1"/>
  <c r="E34" i="21" s="1"/>
  <c r="C35" i="21" l="1"/>
  <c r="E35" i="21" s="1"/>
  <c r="C36" i="21"/>
  <c r="E36" i="21" s="1"/>
  <c r="C37" i="21" l="1"/>
  <c r="E37" i="21" s="1"/>
  <c r="C38" i="21" l="1"/>
  <c r="E38" i="21" s="1"/>
  <c r="C39" i="21"/>
  <c r="E39" i="21" s="1"/>
  <c r="C40" i="21" l="1"/>
  <c r="E40" i="21" s="1"/>
  <c r="C41" i="21" l="1"/>
  <c r="E41" i="21" s="1"/>
  <c r="C42" i="21"/>
  <c r="E42" i="21" s="1"/>
  <c r="C43" i="21"/>
  <c r="E43" i="21" s="1"/>
  <c r="C44" i="21"/>
  <c r="E44" i="21" s="1"/>
  <c r="C45" i="21"/>
  <c r="E45" i="21" s="1"/>
  <c r="C46" i="21" l="1"/>
  <c r="E46" i="21" s="1"/>
  <c r="C47" i="21" l="1"/>
  <c r="E47" i="21" s="1"/>
  <c r="C48" i="21"/>
  <c r="E48" i="21" s="1"/>
  <c r="C49" i="21"/>
  <c r="E49" i="21" s="1"/>
  <c r="C50" i="21"/>
  <c r="E50" i="21" s="1"/>
  <c r="C51" i="21"/>
  <c r="E51" i="21" s="1"/>
  <c r="C52" i="21" l="1"/>
  <c r="E52" i="21" s="1"/>
  <c r="C53" i="21" l="1"/>
  <c r="E53" i="21" s="1"/>
  <c r="C54" i="21"/>
  <c r="E54" i="21" s="1"/>
  <c r="C55" i="21"/>
  <c r="E55" i="21" s="1"/>
  <c r="C56" i="21"/>
  <c r="E56" i="21" s="1"/>
  <c r="C57" i="21"/>
  <c r="E57" i="21" s="1"/>
  <c r="C58" i="21" l="1"/>
  <c r="E58" i="21" s="1"/>
  <c r="C59" i="21" l="1"/>
  <c r="E59" i="21" s="1"/>
  <c r="C60" i="21"/>
  <c r="E60" i="21" s="1"/>
  <c r="C61" i="21"/>
  <c r="E61" i="21" s="1"/>
  <c r="C62" i="21"/>
  <c r="E62" i="21" s="1"/>
  <c r="C63" i="21"/>
  <c r="E63" i="21" s="1"/>
  <c r="H4" i="21" s="1"/>
  <c r="H24" i="1"/>
  <c r="H25" i="1"/>
  <c r="H26" i="1"/>
  <c r="H27" i="1"/>
  <c r="H28" i="1"/>
  <c r="H29" i="1"/>
  <c r="H12" i="21" l="1"/>
  <c r="D12" i="28" s="1"/>
  <c r="E12" i="28" s="1"/>
  <c r="H11" i="21"/>
  <c r="D11" i="28" s="1"/>
  <c r="E11" i="28" s="1"/>
  <c r="H13" i="21"/>
  <c r="D13" i="28" s="1"/>
  <c r="E13" i="28" s="1"/>
  <c r="H15" i="21"/>
  <c r="D15" i="28" s="1"/>
  <c r="E15" i="28" s="1"/>
  <c r="H14" i="21"/>
  <c r="D14" i="28" s="1"/>
  <c r="E14" i="28" s="1"/>
  <c r="D4" i="28"/>
  <c r="E4" i="28" s="1"/>
  <c r="H9" i="21"/>
  <c r="D9" i="28" s="1"/>
  <c r="E9" i="28" s="1"/>
  <c r="H8" i="21"/>
  <c r="D8" i="28" s="1"/>
  <c r="E8" i="28" s="1"/>
  <c r="H7" i="21"/>
  <c r="D7" i="28" s="1"/>
  <c r="E7" i="28" s="1"/>
  <c r="H6" i="21"/>
  <c r="D6" i="28" s="1"/>
  <c r="E6" i="28" s="1"/>
  <c r="H5" i="21"/>
  <c r="D5" i="28" s="1"/>
  <c r="E5" i="28" s="1"/>
  <c r="H10" i="21"/>
  <c r="D10" i="28" s="1"/>
  <c r="E10" i="28" s="1"/>
  <c r="H30" i="1"/>
  <c r="D17" i="28" l="1"/>
  <c r="C21" i="29" s="1"/>
  <c r="E17" i="28"/>
  <c r="C12" i="29" s="1"/>
  <c r="H31" i="1"/>
  <c r="H27" i="26"/>
  <c r="H32" i="1"/>
  <c r="H28" i="26"/>
  <c r="H33" i="1"/>
  <c r="H29" i="26"/>
  <c r="H34" i="1"/>
  <c r="H30" i="26"/>
  <c r="H35" i="1"/>
  <c r="D30" i="29" l="1"/>
  <c r="F12" i="29"/>
  <c r="C29" i="29"/>
  <c r="C23" i="29"/>
  <c r="C30" i="29"/>
  <c r="C24" i="29"/>
  <c r="C22" i="29"/>
  <c r="C32" i="29"/>
  <c r="C27" i="29"/>
  <c r="C25" i="29"/>
  <c r="E21" i="29"/>
  <c r="C31" i="29"/>
  <c r="C28" i="29"/>
  <c r="C26" i="29"/>
  <c r="C3" i="29"/>
  <c r="C6" i="29"/>
  <c r="C5" i="29"/>
  <c r="C9" i="29"/>
  <c r="C10" i="29"/>
  <c r="C8" i="29"/>
  <c r="C7" i="29"/>
  <c r="C4" i="29"/>
  <c r="C14" i="29"/>
  <c r="C11" i="29"/>
  <c r="C13" i="29"/>
  <c r="D3" i="1"/>
  <c r="D32" i="29" l="1"/>
  <c r="F14" i="29"/>
  <c r="D21" i="29"/>
  <c r="F3" i="29"/>
  <c r="E22" i="29"/>
  <c r="D22" i="29"/>
  <c r="F4" i="29"/>
  <c r="D25" i="29"/>
  <c r="F7" i="29"/>
  <c r="D24" i="29"/>
  <c r="F6" i="29"/>
  <c r="D29" i="29"/>
  <c r="F11" i="29"/>
  <c r="D26" i="29"/>
  <c r="F8" i="29"/>
  <c r="D28" i="29"/>
  <c r="F10" i="29"/>
  <c r="D27" i="29"/>
  <c r="F9" i="29"/>
  <c r="D31" i="29"/>
  <c r="F13" i="29"/>
  <c r="D23" i="29"/>
  <c r="F5" i="29"/>
  <c r="E25" i="29"/>
  <c r="E23" i="29"/>
  <c r="E28" i="29"/>
  <c r="E24" i="29"/>
  <c r="E29" i="29"/>
  <c r="E30" i="29"/>
  <c r="E32" i="29"/>
  <c r="E27" i="29"/>
  <c r="E26" i="29"/>
  <c r="E31" i="29"/>
  <c r="D9" i="29"/>
  <c r="F27" i="29" s="1"/>
  <c r="D13" i="29"/>
  <c r="F31" i="29" s="1"/>
  <c r="D14" i="29"/>
  <c r="F32" i="29" s="1"/>
  <c r="D11" i="29"/>
  <c r="F29" i="29" s="1"/>
  <c r="D10" i="29"/>
  <c r="F28" i="29" s="1"/>
  <c r="D3" i="29"/>
  <c r="F21" i="29" s="1"/>
  <c r="D12" i="29"/>
  <c r="F30" i="29" s="1"/>
  <c r="D5" i="29"/>
  <c r="F23" i="29" s="1"/>
  <c r="D8" i="29"/>
  <c r="F26" i="29" s="1"/>
  <c r="D7" i="29"/>
  <c r="F25" i="29" s="1"/>
  <c r="D6" i="29"/>
  <c r="F24" i="29" s="1"/>
  <c r="D4" i="29"/>
  <c r="F22" i="29" s="1"/>
  <c r="G5" i="29" l="1"/>
  <c r="G7" i="29"/>
  <c r="G3" i="29"/>
  <c r="G8" i="29"/>
  <c r="G9" i="29"/>
  <c r="G12" i="29"/>
  <c r="G6" i="29"/>
  <c r="G10" i="29"/>
  <c r="G11" i="29"/>
  <c r="G4" i="29"/>
  <c r="G13" i="29"/>
  <c r="G14"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DH User</author>
  </authors>
  <commentList>
    <comment ref="B10" authorId="0" shapeId="0" xr:uid="{21A03174-95A5-4298-B462-96ACACDD87C2}">
      <text>
        <r>
          <rPr>
            <sz val="8"/>
            <color indexed="81"/>
            <rFont val="Tahoma"/>
            <family val="2"/>
          </rPr>
          <t xml:space="preserve">This is not in public domain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DH User</author>
  </authors>
  <commentList>
    <comment ref="B11" authorId="0" shapeId="0" xr:uid="{00000000-0006-0000-0A00-000001000000}">
      <text>
        <r>
          <rPr>
            <sz val="8"/>
            <color indexed="81"/>
            <rFont val="Tahoma"/>
            <family val="2"/>
          </rPr>
          <t xml:space="preserve">This is not in public domain
</t>
        </r>
      </text>
    </comment>
  </commentList>
</comments>
</file>

<file path=xl/sharedStrings.xml><?xml version="1.0" encoding="utf-8"?>
<sst xmlns="http://schemas.openxmlformats.org/spreadsheetml/2006/main" count="347" uniqueCount="142">
  <si>
    <r>
      <t xml:space="preserve">Enter the most recent data available in the "Data" sheet and make sure the headings are updated to show the correct years - do </t>
    </r>
    <r>
      <rPr>
        <b/>
        <sz val="10"/>
        <rFont val="Arial"/>
        <family val="2"/>
      </rPr>
      <t>not</t>
    </r>
    <r>
      <rPr>
        <sz val="10"/>
        <rFont val="Arial"/>
        <family val="2"/>
      </rPr>
      <t xml:space="preserve"> add additional columns of data, simply replace the values so the current year is always in column G</t>
    </r>
  </si>
  <si>
    <t>There needs to be complete data from 5 previous years. The current data (in column G) can either be empty, or have any number of month's worth of data</t>
  </si>
  <si>
    <t>Update the "Dispensing Days" sheet if it does not include the year you are currently modelling. Additional columns may be added to this sheet</t>
  </si>
  <si>
    <t>RESULTS</t>
  </si>
  <si>
    <t>Forecast Profile</t>
  </si>
  <si>
    <t>Cumulative profile</t>
  </si>
  <si>
    <t>April</t>
  </si>
  <si>
    <t>May</t>
  </si>
  <si>
    <t>June</t>
  </si>
  <si>
    <t>July</t>
  </si>
  <si>
    <t>August</t>
  </si>
  <si>
    <t>September</t>
  </si>
  <si>
    <t>October</t>
  </si>
  <si>
    <t>November</t>
  </si>
  <si>
    <t>December</t>
  </si>
  <si>
    <t>January</t>
  </si>
  <si>
    <t>February</t>
  </si>
  <si>
    <t>March</t>
  </si>
  <si>
    <t>Compare how the current proportions compare with the initial proportions forecast by the model:</t>
  </si>
  <si>
    <t>Forecast profile from the model at beginning of year</t>
  </si>
  <si>
    <t>Cumulative profile from the model at the beginning of the year</t>
  </si>
  <si>
    <t>Forecast values: Monthly spend (£)</t>
  </si>
  <si>
    <t>True Values</t>
  </si>
  <si>
    <t>Model Forecast</t>
  </si>
  <si>
    <t>Overall Estimates</t>
  </si>
  <si>
    <t>Total spend</t>
  </si>
  <si>
    <t>Calculate Prescriptions per dispensing day</t>
  </si>
  <si>
    <t>year</t>
  </si>
  <si>
    <t>Month</t>
  </si>
  <si>
    <t>Historical</t>
  </si>
  <si>
    <t>Dispensing days</t>
  </si>
  <si>
    <t>Prescription spend per dispensing day</t>
  </si>
  <si>
    <t>Average prescription spend per dispensing day for each month</t>
  </si>
  <si>
    <t>Data entry sheet</t>
  </si>
  <si>
    <t>Actual monthly drugs spend (£)</t>
  </si>
  <si>
    <t>Year</t>
  </si>
  <si>
    <t>2016/17</t>
  </si>
  <si>
    <t>2017/18</t>
  </si>
  <si>
    <t>2018/19</t>
  </si>
  <si>
    <t>2019/20</t>
  </si>
  <si>
    <t>2020/21</t>
  </si>
  <si>
    <t>2021/22</t>
  </si>
  <si>
    <t>Policy/local adjustments (£)</t>
  </si>
  <si>
    <t>Policy Impact</t>
  </si>
  <si>
    <t>Date</t>
  </si>
  <si>
    <t>Type</t>
  </si>
  <si>
    <t>Impact per year</t>
  </si>
  <si>
    <t>Per month</t>
  </si>
  <si>
    <t>Net impact since April 2015</t>
  </si>
  <si>
    <t>1st generic</t>
  </si>
  <si>
    <t>2nd generic</t>
  </si>
  <si>
    <t>PPRS 05</t>
  </si>
  <si>
    <t>CatM1</t>
  </si>
  <si>
    <t>CatM2</t>
  </si>
  <si>
    <t>CatM technical adju</t>
  </si>
  <si>
    <t>CatM3</t>
  </si>
  <si>
    <t>CatM4</t>
  </si>
  <si>
    <t>PPRS 09 (-3.9%)</t>
  </si>
  <si>
    <t>CatM5</t>
  </si>
  <si>
    <t>PPRS 09 (-1.9%)</t>
  </si>
  <si>
    <t>CatM6</t>
  </si>
  <si>
    <t>PPRS09 (+0.1%)</t>
  </si>
  <si>
    <t>CatM7</t>
  </si>
  <si>
    <t>QP indicators &amp; QIPP</t>
  </si>
  <si>
    <t>CatM8</t>
  </si>
  <si>
    <t>PPRS09 (+0.2%)</t>
  </si>
  <si>
    <t>CatM9</t>
  </si>
  <si>
    <t>Atorvastatin</t>
  </si>
  <si>
    <t>CatM10</t>
  </si>
  <si>
    <t>CatM</t>
  </si>
  <si>
    <t>CatM11</t>
  </si>
  <si>
    <t>https://psnc.org.uk/funding-and-statistics/funding-distribution/summary-of-funding-changes/</t>
  </si>
  <si>
    <t>Contact: Bayan Amin (bayan.amin@dhsc.gov.uk)</t>
  </si>
  <si>
    <t>Description of Cateogry M: https://psnc.org.uk/funding-and-statistics/funding-distribution/retained-margin-category-m/</t>
  </si>
  <si>
    <t>2005/06</t>
  </si>
  <si>
    <t>2006/07</t>
  </si>
  <si>
    <t>2007/08</t>
  </si>
  <si>
    <t>2008/09</t>
  </si>
  <si>
    <t>2009/10</t>
  </si>
  <si>
    <t>2010/11</t>
  </si>
  <si>
    <t>2011/12</t>
  </si>
  <si>
    <t>2012/13</t>
  </si>
  <si>
    <t>2013/14</t>
  </si>
  <si>
    <t>2014/15</t>
  </si>
  <si>
    <t>2015/16</t>
  </si>
  <si>
    <t>SUMMARY OUTPUT</t>
  </si>
  <si>
    <t>Regression Statistics</t>
  </si>
  <si>
    <t>Multiple R</t>
  </si>
  <si>
    <t>R Square</t>
  </si>
  <si>
    <t>Adjusted R Square</t>
  </si>
  <si>
    <t>Standard Error</t>
  </si>
  <si>
    <t>Observations</t>
  </si>
  <si>
    <t>ANOVA</t>
  </si>
  <si>
    <t>df</t>
  </si>
  <si>
    <t>SS</t>
  </si>
  <si>
    <t>MS</t>
  </si>
  <si>
    <t>F</t>
  </si>
  <si>
    <t>Significance F</t>
  </si>
  <si>
    <t>Regression</t>
  </si>
  <si>
    <t>Residual</t>
  </si>
  <si>
    <t>Total</t>
  </si>
  <si>
    <t>Coefficients</t>
  </si>
  <si>
    <t>t Stat</t>
  </si>
  <si>
    <t>P-value</t>
  </si>
  <si>
    <t>Lower 95%</t>
  </si>
  <si>
    <t>Upper 95%</t>
  </si>
  <si>
    <t>Lower 95.0%</t>
  </si>
  <si>
    <t>Upper 95.0%</t>
  </si>
  <si>
    <t>Intercept</t>
  </si>
  <si>
    <t>X Variable 1</t>
  </si>
  <si>
    <t>X Variable 2</t>
  </si>
  <si>
    <t>X Variable 3</t>
  </si>
  <si>
    <t>Taken from 20130221 National forecast incl DCMC</t>
  </si>
  <si>
    <t>Policy changes used in the model - internal estimate</t>
  </si>
  <si>
    <t>PPRS 09 (3.9%)</t>
  </si>
  <si>
    <t>PPRS 09 (1.9%)</t>
  </si>
  <si>
    <t>PPRS09</t>
  </si>
  <si>
    <t>Restricted Policy</t>
  </si>
  <si>
    <t>2022/23</t>
  </si>
  <si>
    <t>Forecast Profile as used in NHSBSA reporting (2 decimal places)</t>
  </si>
  <si>
    <t>Cumulative profile as used in NHSBSA reporting (2 decimal places)</t>
  </si>
  <si>
    <t>Please read before using spreadsheet</t>
  </si>
  <si>
    <t>Updating forecast for new financial year</t>
  </si>
  <si>
    <t>'Data' sheet</t>
  </si>
  <si>
    <t>Enter the historical monthly actual spend (£s) for the year mentioned in column heading</t>
  </si>
  <si>
    <t xml:space="preserve">Enter the total cumulative policy/local adjustments (£) that apply for each month in the year mentioned. </t>
  </si>
  <si>
    <t>If you don't know of any policy/local adjustments, enter the same amount as March in the previous year for all months in the last column.</t>
  </si>
  <si>
    <t>For more information on the cumulative policy/local adjustments see the accompanying guide.</t>
  </si>
  <si>
    <t>Do not cut and paste data within this workbook.  You can copy data in from another workbook if needed.</t>
  </si>
  <si>
    <t>Entering data for current financial year</t>
  </si>
  <si>
    <t>When you know the monthly spend for the previous month, enter this value in the last column of the 'Actual Spend' table.</t>
  </si>
  <si>
    <t>If there have been any policy adjustments in this month, add them to the last column of the 'Policy Adjustment' table.</t>
  </si>
  <si>
    <t>The monthly spend will now be included in this sheet.</t>
  </si>
  <si>
    <t>The end of year forecast is calculated using the actual monthly spend for previous months and the predicted spend for future months.</t>
  </si>
  <si>
    <t>For more information, see the Guide on running the Forecast Template.</t>
  </si>
  <si>
    <t xml:space="preserve">This will automatically calculate the predicted spend for each month and end of year forecast.  </t>
  </si>
  <si>
    <t>'Forecasting' sheet</t>
  </si>
  <si>
    <t>THIS SHEET MARKS THE START OF THE OUTPUTS SECTION</t>
  </si>
  <si>
    <t>THIS SHEET MARKS THE START OF THE CALCULATIONS SECTION</t>
  </si>
  <si>
    <t>THIS SHEET MARKS THE START OF THE INPUTS SECTION</t>
  </si>
  <si>
    <t>The forecast spend will be shown in the "Forecasting" sheet, and the monthly profiles in the "SICBL Profile" sheet</t>
  </si>
  <si>
    <t>If you wish to compare how the current monthly profiles compare with the model predictions at the beginning of the year, this is seen in the 2nd table in the "SICBL Profile"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</si>
</sst>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0.0"/>
    <numFmt numFmtId="166" formatCode="0.0%"/>
    <numFmt numFmtId="167" formatCode="0.0_ ;[Red]\-0.0\ "/>
    <numFmt numFmtId="168" formatCode="0.000000%"/>
  </numFmts>
  <fonts count="20" x14ac:knownFonts="1">
    <font>
      <sz val="10"/>
      <name val="Arial"/>
    </font>
    <font>
      <sz val="10"/>
      <name val="Arial"/>
      <family val="2"/>
    </font>
    <font>
      <b/>
      <sz val="12"/>
      <name val="Arial"/>
      <family val="2"/>
    </font>
    <font>
      <sz val="8"/>
      <name val="Arial"/>
      <family val="2"/>
    </font>
    <font>
      <i/>
      <sz val="10"/>
      <name val="Arial"/>
      <family val="2"/>
    </font>
    <font>
      <sz val="10"/>
      <color indexed="9"/>
      <name val="Arial"/>
      <family val="2"/>
    </font>
    <font>
      <sz val="10"/>
      <color indexed="10"/>
      <name val="Arial"/>
      <family val="2"/>
    </font>
    <font>
      <sz val="10"/>
      <color indexed="63"/>
      <name val="Tahoma"/>
      <family val="2"/>
    </font>
    <font>
      <b/>
      <sz val="18"/>
      <name val="Arial"/>
      <family val="2"/>
    </font>
    <font>
      <b/>
      <sz val="10"/>
      <name val="Arial"/>
      <family val="2"/>
    </font>
    <font>
      <sz val="10"/>
      <color indexed="8"/>
      <name val="Arial"/>
      <family val="2"/>
    </font>
    <font>
      <b/>
      <sz val="10"/>
      <color indexed="8"/>
      <name val="Arial"/>
      <family val="2"/>
    </font>
    <font>
      <sz val="8"/>
      <color indexed="81"/>
      <name val="Tahoma"/>
      <family val="2"/>
    </font>
    <font>
      <sz val="10"/>
      <color rgb="FFFF0000"/>
      <name val="Arial"/>
      <family val="2"/>
    </font>
    <font>
      <u/>
      <sz val="10"/>
      <color theme="10"/>
      <name val="Arial"/>
      <family val="2"/>
    </font>
    <font>
      <b/>
      <sz val="11"/>
      <color theme="1"/>
      <name val="Calibri"/>
      <family val="2"/>
      <scheme val="minor"/>
    </font>
    <font>
      <b/>
      <sz val="11"/>
      <name val="Calibri"/>
      <family val="2"/>
      <scheme val="minor"/>
    </font>
    <font>
      <sz val="11"/>
      <name val="Calibri"/>
      <family val="2"/>
      <scheme val="minor"/>
    </font>
    <font>
      <b/>
      <sz val="14"/>
      <name val="Arial"/>
      <family val="2"/>
    </font>
    <font>
      <u/>
      <sz val="10"/>
      <name val="Arial"/>
      <family val="2"/>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13"/>
        <bgColor indexed="64"/>
      </patternFill>
    </fill>
    <fill>
      <patternFill patternType="solid">
        <fgColor theme="0"/>
        <bgColor indexed="64"/>
      </patternFill>
    </fill>
  </fills>
  <borders count="37">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22"/>
      </top>
      <bottom style="thin">
        <color indexed="22"/>
      </bottom>
      <diagonal/>
    </border>
    <border>
      <left style="thin">
        <color indexed="64"/>
      </left>
      <right/>
      <top style="thin">
        <color indexed="22"/>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22"/>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style="thin">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4"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0" fontId="2" fillId="0" borderId="0" xfId="0" applyFont="1"/>
    <xf numFmtId="164" fontId="0" fillId="0" borderId="0" xfId="1" applyNumberFormat="1" applyFont="1"/>
    <xf numFmtId="0" fontId="2" fillId="2" borderId="0" xfId="0" applyFont="1" applyFill="1"/>
    <xf numFmtId="0" fontId="0" fillId="2" borderId="0" xfId="0" applyFill="1"/>
    <xf numFmtId="0" fontId="0" fillId="2" borderId="1" xfId="0" applyFill="1" applyBorder="1"/>
    <xf numFmtId="0" fontId="0" fillId="2" borderId="2" xfId="0" applyFill="1" applyBorder="1"/>
    <xf numFmtId="164" fontId="1" fillId="0" borderId="0" xfId="1" applyNumberFormat="1"/>
    <xf numFmtId="164" fontId="0" fillId="2" borderId="0" xfId="1" applyNumberFormat="1" applyFont="1" applyFill="1"/>
    <xf numFmtId="0" fontId="5" fillId="2" borderId="0" xfId="0" applyFont="1" applyFill="1"/>
    <xf numFmtId="0" fontId="6" fillId="2" borderId="0" xfId="0" applyFont="1" applyFill="1"/>
    <xf numFmtId="0" fontId="7" fillId="0" borderId="0" xfId="0" applyFont="1" applyAlignment="1">
      <alignment horizontal="left" indent="1"/>
    </xf>
    <xf numFmtId="0" fontId="1" fillId="2" borderId="0" xfId="0" applyFont="1" applyFill="1"/>
    <xf numFmtId="0" fontId="0" fillId="2" borderId="3" xfId="0" applyFill="1" applyBorder="1"/>
    <xf numFmtId="0" fontId="0" fillId="2" borderId="4" xfId="0" applyFill="1" applyBorder="1"/>
    <xf numFmtId="0" fontId="8" fillId="2" borderId="0" xfId="0" applyFont="1" applyFill="1"/>
    <xf numFmtId="0" fontId="0" fillId="0" borderId="0" xfId="0" applyAlignment="1">
      <alignment horizontal="right" wrapText="1"/>
    </xf>
    <xf numFmtId="0" fontId="1" fillId="0" borderId="0" xfId="3"/>
    <xf numFmtId="0" fontId="9" fillId="0" borderId="0" xfId="3" applyFont="1"/>
    <xf numFmtId="0" fontId="1" fillId="0" borderId="9" xfId="3" applyBorder="1"/>
    <xf numFmtId="0" fontId="10" fillId="0" borderId="9" xfId="3" applyFont="1" applyBorder="1"/>
    <xf numFmtId="165" fontId="1" fillId="0" borderId="9" xfId="3" applyNumberFormat="1" applyBorder="1"/>
    <xf numFmtId="17" fontId="1" fillId="4" borderId="0" xfId="3" applyNumberFormat="1" applyFill="1"/>
    <xf numFmtId="0" fontId="6" fillId="0" borderId="0" xfId="3" applyFont="1"/>
    <xf numFmtId="165" fontId="1" fillId="0" borderId="10" xfId="3" applyNumberFormat="1" applyBorder="1"/>
    <xf numFmtId="0" fontId="0" fillId="0" borderId="11" xfId="0" applyBorder="1"/>
    <xf numFmtId="0" fontId="4" fillId="0" borderId="12" xfId="0" applyFont="1" applyBorder="1" applyAlignment="1">
      <alignment horizontal="center"/>
    </xf>
    <xf numFmtId="0" fontId="4" fillId="0" borderId="12" xfId="0" applyFont="1" applyBorder="1" applyAlignment="1">
      <alignment horizontal="centerContinuous"/>
    </xf>
    <xf numFmtId="3" fontId="0" fillId="0" borderId="0" xfId="0" applyNumberFormat="1"/>
    <xf numFmtId="0" fontId="0" fillId="2" borderId="10" xfId="0" applyFill="1" applyBorder="1"/>
    <xf numFmtId="0" fontId="0" fillId="2" borderId="9" xfId="0" applyFill="1" applyBorder="1"/>
    <xf numFmtId="0" fontId="0" fillId="0" borderId="0" xfId="0" applyAlignment="1">
      <alignment horizontal="right"/>
    </xf>
    <xf numFmtId="0" fontId="0" fillId="2" borderId="8" xfId="0" applyFill="1" applyBorder="1"/>
    <xf numFmtId="0" fontId="1" fillId="0" borderId="0" xfId="0" applyFont="1"/>
    <xf numFmtId="164" fontId="0" fillId="2" borderId="0" xfId="0" applyNumberFormat="1" applyFill="1"/>
    <xf numFmtId="166" fontId="0" fillId="2" borderId="0" xfId="2" applyNumberFormat="1" applyFont="1" applyFill="1"/>
    <xf numFmtId="0" fontId="0" fillId="2" borderId="0" xfId="0" applyFill="1" applyAlignment="1">
      <alignment horizontal="right"/>
    </xf>
    <xf numFmtId="0" fontId="6" fillId="2" borderId="0" xfId="0" applyFont="1" applyFill="1" applyAlignment="1">
      <alignment horizontal="right"/>
    </xf>
    <xf numFmtId="10" fontId="0" fillId="2" borderId="0" xfId="2" applyNumberFormat="1" applyFont="1" applyFill="1" applyAlignment="1">
      <alignment horizontal="right"/>
    </xf>
    <xf numFmtId="0" fontId="10" fillId="0" borderId="9" xfId="3" applyFont="1" applyBorder="1" applyAlignment="1">
      <alignment horizontal="center"/>
    </xf>
    <xf numFmtId="0" fontId="10" fillId="0" borderId="0" xfId="3" applyFont="1"/>
    <xf numFmtId="0" fontId="0" fillId="5" borderId="0" xfId="0" applyFill="1"/>
    <xf numFmtId="0" fontId="0" fillId="5" borderId="0" xfId="0" applyFill="1" applyAlignment="1">
      <alignment horizontal="right"/>
    </xf>
    <xf numFmtId="0" fontId="1" fillId="5" borderId="0" xfId="0" applyFont="1" applyFill="1" applyAlignment="1">
      <alignment horizontal="right"/>
    </xf>
    <xf numFmtId="164" fontId="0" fillId="5" borderId="0" xfId="0" applyNumberFormat="1" applyFill="1" applyAlignment="1">
      <alignment horizontal="right"/>
    </xf>
    <xf numFmtId="0" fontId="1" fillId="5" borderId="0" xfId="0" applyFont="1" applyFill="1"/>
    <xf numFmtId="10" fontId="0" fillId="5" borderId="0" xfId="0" applyNumberFormat="1" applyFill="1" applyAlignment="1">
      <alignment horizontal="right"/>
    </xf>
    <xf numFmtId="43" fontId="0" fillId="5" borderId="0" xfId="0" applyNumberFormat="1" applyFill="1" applyAlignment="1">
      <alignment horizontal="right"/>
    </xf>
    <xf numFmtId="43" fontId="0" fillId="0" borderId="0" xfId="0" applyNumberFormat="1"/>
    <xf numFmtId="164" fontId="0" fillId="0" borderId="0" xfId="0" applyNumberFormat="1"/>
    <xf numFmtId="0" fontId="1" fillId="2" borderId="0" xfId="0" applyFont="1" applyFill="1" applyAlignment="1">
      <alignment horizontal="right"/>
    </xf>
    <xf numFmtId="164" fontId="0" fillId="3" borderId="13" xfId="1" applyNumberFormat="1" applyFont="1" applyFill="1" applyBorder="1" applyAlignment="1" applyProtection="1">
      <alignment horizontal="right"/>
      <protection locked="0"/>
    </xf>
    <xf numFmtId="164" fontId="0" fillId="3" borderId="14" xfId="1" applyNumberFormat="1" applyFont="1" applyFill="1" applyBorder="1" applyAlignment="1" applyProtection="1">
      <alignment horizontal="right"/>
      <protection locked="0"/>
    </xf>
    <xf numFmtId="164" fontId="0" fillId="3" borderId="0" xfId="1" applyNumberFormat="1" applyFont="1" applyFill="1" applyBorder="1" applyAlignment="1" applyProtection="1">
      <alignment horizontal="right"/>
      <protection locked="0"/>
    </xf>
    <xf numFmtId="164" fontId="0" fillId="3" borderId="15" xfId="1" applyNumberFormat="1" applyFont="1" applyFill="1" applyBorder="1" applyAlignment="1" applyProtection="1">
      <alignment horizontal="right"/>
      <protection locked="0"/>
    </xf>
    <xf numFmtId="164" fontId="0" fillId="3" borderId="1" xfId="1" applyNumberFormat="1" applyFont="1" applyFill="1" applyBorder="1" applyAlignment="1" applyProtection="1">
      <alignment horizontal="right"/>
      <protection locked="0"/>
    </xf>
    <xf numFmtId="164" fontId="0" fillId="3" borderId="2" xfId="1" applyNumberFormat="1" applyFont="1" applyFill="1" applyBorder="1" applyAlignment="1" applyProtection="1">
      <alignment horizontal="right"/>
      <protection locked="0"/>
    </xf>
    <xf numFmtId="3" fontId="0" fillId="3" borderId="13" xfId="1" applyNumberFormat="1" applyFont="1" applyFill="1" applyBorder="1" applyAlignment="1" applyProtection="1">
      <alignment horizontal="right"/>
      <protection locked="0"/>
    </xf>
    <xf numFmtId="3" fontId="0" fillId="3" borderId="0" xfId="1" applyNumberFormat="1" applyFont="1" applyFill="1" applyBorder="1" applyAlignment="1" applyProtection="1">
      <alignment horizontal="right"/>
      <protection locked="0"/>
    </xf>
    <xf numFmtId="3" fontId="0" fillId="3" borderId="1" xfId="1" applyNumberFormat="1" applyFont="1" applyFill="1" applyBorder="1" applyAlignment="1" applyProtection="1">
      <alignment horizontal="right"/>
      <protection locked="0"/>
    </xf>
    <xf numFmtId="0" fontId="1" fillId="0" borderId="16" xfId="0" applyFont="1" applyBorder="1"/>
    <xf numFmtId="0" fontId="0" fillId="0" borderId="18" xfId="0" applyBorder="1"/>
    <xf numFmtId="164" fontId="0" fillId="0" borderId="19" xfId="1" applyNumberFormat="1" applyFont="1" applyBorder="1"/>
    <xf numFmtId="0" fontId="0" fillId="0" borderId="21" xfId="0" applyBorder="1"/>
    <xf numFmtId="164" fontId="0" fillId="0" borderId="22" xfId="1" applyNumberFormat="1" applyFont="1" applyBorder="1"/>
    <xf numFmtId="0" fontId="0" fillId="0" borderId="22" xfId="0" applyBorder="1"/>
    <xf numFmtId="0" fontId="9" fillId="0" borderId="24" xfId="0" applyFont="1" applyBorder="1"/>
    <xf numFmtId="0" fontId="0" fillId="0" borderId="25" xfId="0" applyBorder="1"/>
    <xf numFmtId="164" fontId="9" fillId="0" borderId="26" xfId="0" applyNumberFormat="1" applyFont="1" applyBorder="1"/>
    <xf numFmtId="0" fontId="1" fillId="0" borderId="27" xfId="0" applyFont="1" applyBorder="1"/>
    <xf numFmtId="164" fontId="0" fillId="3" borderId="14" xfId="5" applyNumberFormat="1" applyFont="1" applyFill="1" applyBorder="1" applyAlignment="1" applyProtection="1">
      <alignment horizontal="right"/>
      <protection locked="0"/>
    </xf>
    <xf numFmtId="164" fontId="0" fillId="3" borderId="15" xfId="5" applyNumberFormat="1" applyFont="1" applyFill="1" applyBorder="1" applyAlignment="1" applyProtection="1">
      <alignment horizontal="right"/>
      <protection locked="0"/>
    </xf>
    <xf numFmtId="0" fontId="0" fillId="0" borderId="5" xfId="0" applyBorder="1"/>
    <xf numFmtId="0" fontId="1" fillId="0" borderId="28" xfId="0" applyFont="1" applyBorder="1"/>
    <xf numFmtId="0" fontId="9" fillId="0" borderId="17" xfId="0" applyFont="1" applyBorder="1"/>
    <xf numFmtId="164" fontId="9" fillId="0" borderId="20" xfId="1" applyNumberFormat="1" applyFont="1" applyBorder="1"/>
    <xf numFmtId="0" fontId="9" fillId="0" borderId="23" xfId="0" applyFont="1" applyBorder="1"/>
    <xf numFmtId="10" fontId="17" fillId="0" borderId="22" xfId="2" applyNumberFormat="1" applyFont="1" applyBorder="1"/>
    <xf numFmtId="164" fontId="1" fillId="0" borderId="29" xfId="0" applyNumberFormat="1" applyFont="1" applyBorder="1"/>
    <xf numFmtId="0" fontId="0" fillId="0" borderId="30" xfId="0" applyBorder="1"/>
    <xf numFmtId="0" fontId="0" fillId="0" borderId="32" xfId="0" applyBorder="1"/>
    <xf numFmtId="164" fontId="0" fillId="0" borderId="33" xfId="1" applyNumberFormat="1" applyFont="1" applyBorder="1"/>
    <xf numFmtId="0" fontId="0" fillId="0" borderId="34" xfId="0" applyBorder="1"/>
    <xf numFmtId="164" fontId="0" fillId="0" borderId="35" xfId="1" applyNumberFormat="1" applyFont="1" applyBorder="1"/>
    <xf numFmtId="0" fontId="9" fillId="0" borderId="31" xfId="0" applyFont="1" applyBorder="1"/>
    <xf numFmtId="0" fontId="16" fillId="0" borderId="22" xfId="0" applyFont="1" applyBorder="1" applyAlignment="1">
      <alignment horizontal="center" vertical="top" wrapText="1"/>
    </xf>
    <xf numFmtId="0" fontId="0" fillId="0" borderId="0" xfId="0" applyAlignment="1">
      <alignment horizontal="left"/>
    </xf>
    <xf numFmtId="0" fontId="15" fillId="0" borderId="22" xfId="0" applyFont="1" applyBorder="1"/>
    <xf numFmtId="0" fontId="15" fillId="0" borderId="22" xfId="0" applyFont="1" applyBorder="1" applyAlignment="1">
      <alignment horizontal="right" wrapText="1"/>
    </xf>
    <xf numFmtId="10" fontId="0" fillId="0" borderId="22" xfId="0" applyNumberFormat="1" applyBorder="1" applyAlignment="1">
      <alignment horizontal="right"/>
    </xf>
    <xf numFmtId="0" fontId="15" fillId="0" borderId="22" xfId="0" applyFont="1" applyBorder="1" applyAlignment="1">
      <alignment horizontal="center" vertical="top" wrapText="1"/>
    </xf>
    <xf numFmtId="10" fontId="1" fillId="0" borderId="22" xfId="0" applyNumberFormat="1" applyFont="1" applyBorder="1" applyAlignment="1">
      <alignment horizontal="right"/>
    </xf>
    <xf numFmtId="1" fontId="11" fillId="0" borderId="22" xfId="3" applyNumberFormat="1" applyFont="1" applyBorder="1" applyAlignment="1">
      <alignment horizontal="center"/>
    </xf>
    <xf numFmtId="0" fontId="9" fillId="0" borderId="22" xfId="3" applyFont="1" applyBorder="1" applyAlignment="1">
      <alignment horizontal="center"/>
    </xf>
    <xf numFmtId="17" fontId="10" fillId="0" borderId="22" xfId="3" applyNumberFormat="1" applyFont="1" applyBorder="1" applyAlignment="1">
      <alignment horizontal="center"/>
    </xf>
    <xf numFmtId="164" fontId="10" fillId="0" borderId="22" xfId="1" applyNumberFormat="1" applyFont="1" applyFill="1" applyBorder="1" applyAlignment="1">
      <alignment horizontal="center"/>
    </xf>
    <xf numFmtId="0" fontId="10" fillId="0" borderId="22" xfId="3" applyFont="1" applyBorder="1" applyAlignment="1">
      <alignment horizontal="center"/>
    </xf>
    <xf numFmtId="0" fontId="11" fillId="0" borderId="22" xfId="3" applyFont="1" applyBorder="1" applyAlignment="1">
      <alignment horizontal="center"/>
    </xf>
    <xf numFmtId="1" fontId="13" fillId="0" borderId="22" xfId="3" applyNumberFormat="1" applyFont="1" applyBorder="1" applyAlignment="1">
      <alignment horizontal="center"/>
    </xf>
    <xf numFmtId="1" fontId="10" fillId="0" borderId="22" xfId="3" applyNumberFormat="1" applyFont="1" applyBorder="1"/>
    <xf numFmtId="0" fontId="1" fillId="0" borderId="22" xfId="3" applyBorder="1"/>
    <xf numFmtId="17" fontId="10" fillId="0" borderId="22" xfId="3" applyNumberFormat="1" applyFont="1" applyBorder="1"/>
    <xf numFmtId="164" fontId="10" fillId="0" borderId="22" xfId="1" applyNumberFormat="1" applyFont="1" applyFill="1" applyBorder="1"/>
    <xf numFmtId="165" fontId="1" fillId="0" borderId="22" xfId="3" applyNumberFormat="1" applyBorder="1"/>
    <xf numFmtId="0" fontId="10" fillId="0" borderId="22" xfId="3" applyFont="1" applyBorder="1"/>
    <xf numFmtId="1" fontId="1" fillId="0" borderId="22" xfId="3" applyNumberFormat="1" applyBorder="1"/>
    <xf numFmtId="17" fontId="10" fillId="4" borderId="22" xfId="3" applyNumberFormat="1" applyFont="1" applyFill="1" applyBorder="1"/>
    <xf numFmtId="0" fontId="11" fillId="0" borderId="22" xfId="3" applyFont="1" applyBorder="1"/>
    <xf numFmtId="17" fontId="1" fillId="4" borderId="22" xfId="3" applyNumberFormat="1" applyFill="1" applyBorder="1"/>
    <xf numFmtId="3" fontId="1" fillId="0" borderId="22" xfId="3" applyNumberFormat="1" applyBorder="1"/>
    <xf numFmtId="0" fontId="1" fillId="2" borderId="36" xfId="0" applyFont="1" applyFill="1" applyBorder="1" applyAlignment="1">
      <alignment horizontal="right"/>
    </xf>
    <xf numFmtId="10" fontId="0" fillId="0" borderId="0" xfId="0" applyNumberFormat="1"/>
    <xf numFmtId="168" fontId="0" fillId="0" borderId="0" xfId="0" applyNumberFormat="1"/>
    <xf numFmtId="168" fontId="0" fillId="0" borderId="0" xfId="2" applyNumberFormat="1" applyFont="1"/>
    <xf numFmtId="43" fontId="0" fillId="2" borderId="0" xfId="0" applyNumberFormat="1" applyFill="1"/>
    <xf numFmtId="9" fontId="0" fillId="2" borderId="0" xfId="0" applyNumberFormat="1" applyFill="1"/>
    <xf numFmtId="0" fontId="0" fillId="2" borderId="5" xfId="0" applyFill="1" applyBorder="1" applyAlignment="1">
      <alignment horizontal="right"/>
    </xf>
    <xf numFmtId="0" fontId="0" fillId="2" borderId="6" xfId="0" applyFill="1" applyBorder="1" applyAlignment="1">
      <alignment horizontal="right"/>
    </xf>
    <xf numFmtId="0" fontId="0" fillId="2" borderId="7" xfId="0" applyFill="1" applyBorder="1" applyAlignment="1">
      <alignment horizontal="right"/>
    </xf>
    <xf numFmtId="0" fontId="18" fillId="2" borderId="0" xfId="0" applyFont="1" applyFill="1"/>
    <xf numFmtId="0" fontId="19" fillId="2" borderId="0" xfId="0" quotePrefix="1" applyFont="1" applyFill="1"/>
    <xf numFmtId="0" fontId="8" fillId="0" borderId="0" xfId="0" applyFont="1"/>
    <xf numFmtId="0" fontId="1" fillId="0" borderId="0" xfId="3" applyFont="1"/>
    <xf numFmtId="0" fontId="1" fillId="0" borderId="22" xfId="3" applyFont="1" applyBorder="1" applyAlignment="1">
      <alignment horizontal="center"/>
    </xf>
    <xf numFmtId="165" fontId="1" fillId="0" borderId="22" xfId="3" applyNumberFormat="1" applyFont="1" applyBorder="1" applyAlignment="1">
      <alignment horizontal="center"/>
    </xf>
    <xf numFmtId="164" fontId="1" fillId="0" borderId="0" xfId="1" applyNumberFormat="1" applyFont="1"/>
    <xf numFmtId="1" fontId="1" fillId="0" borderId="22" xfId="3" applyNumberFormat="1" applyFont="1" applyBorder="1" applyAlignment="1">
      <alignment horizontal="center"/>
    </xf>
    <xf numFmtId="17" fontId="1" fillId="0" borderId="0" xfId="3" applyNumberFormat="1" applyFont="1" applyAlignment="1">
      <alignment horizontal="center"/>
    </xf>
    <xf numFmtId="0" fontId="1" fillId="0" borderId="9" xfId="3" applyFont="1" applyBorder="1" applyAlignment="1">
      <alignment horizontal="center"/>
    </xf>
    <xf numFmtId="17" fontId="1" fillId="0" borderId="22" xfId="3" applyNumberFormat="1" applyFont="1" applyBorder="1" applyAlignment="1">
      <alignment horizontal="center"/>
    </xf>
    <xf numFmtId="3" fontId="1" fillId="0" borderId="22" xfId="3" applyNumberFormat="1" applyFont="1" applyBorder="1" applyAlignment="1">
      <alignment horizontal="center"/>
    </xf>
    <xf numFmtId="167" fontId="1" fillId="0" borderId="22" xfId="3" applyNumberFormat="1" applyFont="1" applyBorder="1" applyAlignment="1">
      <alignment horizontal="center"/>
    </xf>
    <xf numFmtId="165" fontId="1" fillId="0" borderId="0" xfId="3" applyNumberFormat="1" applyFont="1"/>
    <xf numFmtId="17" fontId="1" fillId="0" borderId="0" xfId="3" applyNumberFormat="1" applyFont="1"/>
    <xf numFmtId="1" fontId="1" fillId="0" borderId="0" xfId="3" applyNumberFormat="1" applyFont="1"/>
    <xf numFmtId="0" fontId="14" fillId="0" borderId="0" xfId="4" applyFont="1"/>
  </cellXfs>
  <cellStyles count="7">
    <cellStyle name="Comma" xfId="1" builtinId="3"/>
    <cellStyle name="Comma 2" xfId="5" xr:uid="{CAFEC008-A5BF-4540-8956-8CA7050BCDDB}"/>
    <cellStyle name="Hyperlink" xfId="4" builtinId="8"/>
    <cellStyle name="Normal" xfId="0" builtinId="0"/>
    <cellStyle name="Normal 2" xfId="3" xr:uid="{00000000-0005-0000-0000-000002000000}"/>
    <cellStyle name="Percent" xfId="2" builtinId="5"/>
    <cellStyle name="Percent 2" xfId="6" xr:uid="{3962DD1B-8185-43DD-8598-56266148F60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healthsharedservice.sharepoint.com/FPAEIG/RPA%203/FHS2/In-year%20forecasts/Resource%20forecasts/2012-13/Versions%20for%20IC%20website/20120516%20National%20Forecast%20-%20exc%20DCM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orecast"/>
      <sheetName val="Forecast Updated"/>
      <sheetName val="Data"/>
      <sheetName val="Actual monthly spend"/>
      <sheetName val="Policy"/>
      <sheetName val="Month Rank"/>
      <sheetName val="Dispensing Days"/>
      <sheetName val="Regression Feed xyrs"/>
      <sheetName val="Regression Feed FUpdated"/>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t="str">
            <v>2006/07</v>
          </cell>
          <cell r="C3" t="str">
            <v>2007/08</v>
          </cell>
          <cell r="D3" t="str">
            <v>2008/09</v>
          </cell>
          <cell r="E3" t="str">
            <v>2009/10</v>
          </cell>
          <cell r="F3" t="str">
            <v>2010/11</v>
          </cell>
          <cell r="G3" t="str">
            <v>2011/12</v>
          </cell>
          <cell r="H3" t="str">
            <v>2012/13</v>
          </cell>
          <cell r="I3" t="str">
            <v>2013/14</v>
          </cell>
          <cell r="J3" t="str">
            <v>2014/15</v>
          </cell>
          <cell r="K3" t="str">
            <v>2015/16</v>
          </cell>
          <cell r="L3" t="str">
            <v>2016/17</v>
          </cell>
        </row>
        <row r="4">
          <cell r="A4" t="str">
            <v>April</v>
          </cell>
          <cell r="B4">
            <v>24</v>
          </cell>
          <cell r="C4">
            <v>23</v>
          </cell>
          <cell r="D4">
            <v>26</v>
          </cell>
          <cell r="E4">
            <v>24</v>
          </cell>
          <cell r="F4">
            <v>24</v>
          </cell>
          <cell r="G4">
            <v>23</v>
          </cell>
          <cell r="H4">
            <v>23</v>
          </cell>
        </row>
        <row r="5">
          <cell r="A5" t="str">
            <v>May</v>
          </cell>
          <cell r="B5">
            <v>25</v>
          </cell>
          <cell r="C5">
            <v>25</v>
          </cell>
          <cell r="D5">
            <v>25</v>
          </cell>
          <cell r="E5">
            <v>24</v>
          </cell>
          <cell r="F5">
            <v>24</v>
          </cell>
          <cell r="G5">
            <v>24</v>
          </cell>
          <cell r="H5">
            <v>26</v>
          </cell>
        </row>
        <row r="6">
          <cell r="A6" t="str">
            <v>June</v>
          </cell>
          <cell r="B6">
            <v>26</v>
          </cell>
          <cell r="C6">
            <v>26</v>
          </cell>
          <cell r="D6">
            <v>25</v>
          </cell>
          <cell r="E6">
            <v>26</v>
          </cell>
          <cell r="F6">
            <v>26</v>
          </cell>
          <cell r="G6">
            <v>26</v>
          </cell>
          <cell r="H6">
            <v>24</v>
          </cell>
        </row>
        <row r="7">
          <cell r="A7" t="str">
            <v>July</v>
          </cell>
          <cell r="B7">
            <v>26</v>
          </cell>
          <cell r="C7">
            <v>26</v>
          </cell>
          <cell r="D7">
            <v>27</v>
          </cell>
          <cell r="E7">
            <v>27</v>
          </cell>
          <cell r="F7">
            <v>27</v>
          </cell>
          <cell r="G7">
            <v>26</v>
          </cell>
          <cell r="H7">
            <v>26</v>
          </cell>
        </row>
        <row r="8">
          <cell r="A8" t="str">
            <v>August</v>
          </cell>
          <cell r="B8">
            <v>26</v>
          </cell>
          <cell r="C8">
            <v>26</v>
          </cell>
          <cell r="D8">
            <v>25</v>
          </cell>
          <cell r="E8">
            <v>25</v>
          </cell>
          <cell r="F8">
            <v>25</v>
          </cell>
          <cell r="G8">
            <v>26</v>
          </cell>
          <cell r="H8">
            <v>26</v>
          </cell>
        </row>
        <row r="9">
          <cell r="A9" t="str">
            <v>September</v>
          </cell>
          <cell r="B9">
            <v>26</v>
          </cell>
          <cell r="C9">
            <v>25</v>
          </cell>
          <cell r="D9">
            <v>26</v>
          </cell>
          <cell r="E9">
            <v>26</v>
          </cell>
          <cell r="F9">
            <v>26</v>
          </cell>
          <cell r="G9">
            <v>26</v>
          </cell>
          <cell r="H9">
            <v>25</v>
          </cell>
        </row>
        <row r="10">
          <cell r="A10" t="str">
            <v>October</v>
          </cell>
          <cell r="B10">
            <v>26</v>
          </cell>
          <cell r="C10">
            <v>27</v>
          </cell>
          <cell r="D10">
            <v>27</v>
          </cell>
          <cell r="E10">
            <v>27</v>
          </cell>
          <cell r="F10">
            <v>26</v>
          </cell>
          <cell r="G10">
            <v>26</v>
          </cell>
          <cell r="H10">
            <v>27</v>
          </cell>
        </row>
        <row r="11">
          <cell r="A11" t="str">
            <v>November</v>
          </cell>
          <cell r="B11">
            <v>26</v>
          </cell>
          <cell r="C11">
            <v>26</v>
          </cell>
          <cell r="D11">
            <v>25</v>
          </cell>
          <cell r="E11">
            <v>25</v>
          </cell>
          <cell r="F11">
            <v>26</v>
          </cell>
          <cell r="G11">
            <v>26</v>
          </cell>
          <cell r="H11">
            <v>26</v>
          </cell>
        </row>
        <row r="12">
          <cell r="A12" t="str">
            <v>December</v>
          </cell>
          <cell r="B12">
            <v>24</v>
          </cell>
          <cell r="C12">
            <v>24</v>
          </cell>
          <cell r="D12">
            <v>25</v>
          </cell>
          <cell r="E12">
            <v>24</v>
          </cell>
          <cell r="F12">
            <v>24</v>
          </cell>
          <cell r="G12">
            <v>25</v>
          </cell>
          <cell r="H12">
            <v>24</v>
          </cell>
        </row>
        <row r="13">
          <cell r="A13" t="str">
            <v>January</v>
          </cell>
          <cell r="B13">
            <v>26</v>
          </cell>
          <cell r="C13">
            <v>26</v>
          </cell>
          <cell r="D13">
            <v>26</v>
          </cell>
          <cell r="E13">
            <v>25</v>
          </cell>
          <cell r="F13">
            <v>24</v>
          </cell>
          <cell r="G13">
            <v>25</v>
          </cell>
          <cell r="H13">
            <v>26</v>
          </cell>
        </row>
        <row r="14">
          <cell r="A14" t="str">
            <v>February</v>
          </cell>
          <cell r="B14">
            <v>24</v>
          </cell>
          <cell r="C14">
            <v>25</v>
          </cell>
          <cell r="D14">
            <v>24</v>
          </cell>
          <cell r="E14">
            <v>24</v>
          </cell>
          <cell r="F14">
            <v>24</v>
          </cell>
          <cell r="G14">
            <v>25</v>
          </cell>
          <cell r="H14">
            <v>24</v>
          </cell>
        </row>
        <row r="15">
          <cell r="A15" t="str">
            <v>March</v>
          </cell>
          <cell r="B15">
            <v>27</v>
          </cell>
          <cell r="C15">
            <v>24</v>
          </cell>
          <cell r="D15">
            <v>26</v>
          </cell>
          <cell r="E15">
            <v>27</v>
          </cell>
          <cell r="F15">
            <v>27</v>
          </cell>
          <cell r="G15">
            <v>27</v>
          </cell>
          <cell r="H15">
            <v>25</v>
          </cell>
        </row>
      </sheetData>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hyperlink" Target="https://psnc.org.uk/funding-and-statistics/funding-distribution/summary-of-funding-changes/"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373CF-C2B5-4B31-8F6F-7A389265FBFD}">
  <dimension ref="A1:A31"/>
  <sheetViews>
    <sheetView showGridLines="0" tabSelected="1" workbookViewId="0">
      <selection activeCell="K39" sqref="K39"/>
    </sheetView>
  </sheetViews>
  <sheetFormatPr defaultRowHeight="12.75" x14ac:dyDescent="0.2"/>
  <cols>
    <col min="1" max="16384" width="9.140625" style="33"/>
  </cols>
  <sheetData>
    <row r="1" spans="1:1" s="12" customFormat="1" ht="18" x14ac:dyDescent="0.25">
      <c r="A1" s="119" t="s">
        <v>121</v>
      </c>
    </row>
    <row r="2" spans="1:1" s="12" customFormat="1" x14ac:dyDescent="0.2"/>
    <row r="3" spans="1:1" s="12" customFormat="1" ht="15.75" x14ac:dyDescent="0.25">
      <c r="A3" s="3" t="s">
        <v>122</v>
      </c>
    </row>
    <row r="4" spans="1:1" s="12" customFormat="1" x14ac:dyDescent="0.2">
      <c r="A4" s="120" t="s">
        <v>123</v>
      </c>
    </row>
    <row r="5" spans="1:1" s="12" customFormat="1" x14ac:dyDescent="0.2">
      <c r="A5" s="12" t="s">
        <v>124</v>
      </c>
    </row>
    <row r="6" spans="1:1" s="12" customFormat="1" x14ac:dyDescent="0.2">
      <c r="A6" s="12" t="s">
        <v>125</v>
      </c>
    </row>
    <row r="7" spans="1:1" s="12" customFormat="1" x14ac:dyDescent="0.2">
      <c r="A7" s="12" t="s">
        <v>126</v>
      </c>
    </row>
    <row r="8" spans="1:1" s="12" customFormat="1" x14ac:dyDescent="0.2">
      <c r="A8" s="12" t="s">
        <v>127</v>
      </c>
    </row>
    <row r="9" spans="1:1" s="12" customFormat="1" x14ac:dyDescent="0.2">
      <c r="A9" s="12" t="s">
        <v>128</v>
      </c>
    </row>
    <row r="10" spans="1:1" s="12" customFormat="1" x14ac:dyDescent="0.2"/>
    <row r="11" spans="1:1" x14ac:dyDescent="0.2">
      <c r="A11" s="33" t="s">
        <v>0</v>
      </c>
    </row>
    <row r="12" spans="1:1" x14ac:dyDescent="0.2">
      <c r="A12" s="33" t="s">
        <v>1</v>
      </c>
    </row>
    <row r="13" spans="1:1" x14ac:dyDescent="0.2">
      <c r="A13" s="33" t="s">
        <v>2</v>
      </c>
    </row>
    <row r="14" spans="1:1" s="12" customFormat="1" x14ac:dyDescent="0.2"/>
    <row r="15" spans="1:1" s="12" customFormat="1" x14ac:dyDescent="0.2">
      <c r="A15" s="120" t="s">
        <v>136</v>
      </c>
    </row>
    <row r="16" spans="1:1" s="12" customFormat="1" x14ac:dyDescent="0.2">
      <c r="A16" s="12" t="s">
        <v>135</v>
      </c>
    </row>
    <row r="17" spans="1:1" s="12" customFormat="1" ht="12.75" customHeight="1" x14ac:dyDescent="0.2"/>
    <row r="18" spans="1:1" s="12" customFormat="1" ht="15.75" x14ac:dyDescent="0.25">
      <c r="A18" s="3" t="s">
        <v>129</v>
      </c>
    </row>
    <row r="19" spans="1:1" s="12" customFormat="1" x14ac:dyDescent="0.2">
      <c r="A19" s="120" t="s">
        <v>123</v>
      </c>
    </row>
    <row r="20" spans="1:1" s="12" customFormat="1" x14ac:dyDescent="0.2">
      <c r="A20" s="12" t="s">
        <v>130</v>
      </c>
    </row>
    <row r="21" spans="1:1" s="12" customFormat="1" x14ac:dyDescent="0.2">
      <c r="A21" s="12" t="s">
        <v>131</v>
      </c>
    </row>
    <row r="22" spans="1:1" s="12" customFormat="1" x14ac:dyDescent="0.2"/>
    <row r="23" spans="1:1" s="12" customFormat="1" x14ac:dyDescent="0.2">
      <c r="A23" s="120" t="s">
        <v>136</v>
      </c>
    </row>
    <row r="24" spans="1:1" s="12" customFormat="1" x14ac:dyDescent="0.2">
      <c r="A24" s="12" t="s">
        <v>132</v>
      </c>
    </row>
    <row r="25" spans="1:1" s="12" customFormat="1" x14ac:dyDescent="0.2">
      <c r="A25" s="12" t="s">
        <v>133</v>
      </c>
    </row>
    <row r="26" spans="1:1" s="12" customFormat="1" x14ac:dyDescent="0.2"/>
    <row r="27" spans="1:1" s="12" customFormat="1" x14ac:dyDescent="0.2">
      <c r="A27" s="12" t="s">
        <v>134</v>
      </c>
    </row>
    <row r="29" spans="1:1" ht="15.75" x14ac:dyDescent="0.25">
      <c r="A29" s="3" t="s">
        <v>3</v>
      </c>
    </row>
    <row r="30" spans="1:1" x14ac:dyDescent="0.2">
      <c r="A30" s="33" t="s">
        <v>140</v>
      </c>
    </row>
    <row r="31" spans="1:1" x14ac:dyDescent="0.2">
      <c r="A31" s="33" t="s">
        <v>141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S15"/>
  <sheetViews>
    <sheetView zoomScale="85" zoomScaleNormal="85" workbookViewId="0">
      <selection activeCell="Q23" sqref="Q23"/>
    </sheetView>
  </sheetViews>
  <sheetFormatPr defaultRowHeight="12.75" x14ac:dyDescent="0.2"/>
  <cols>
    <col min="2" max="4" width="9.28515625" customWidth="1"/>
  </cols>
  <sheetData>
    <row r="1" spans="1:19" ht="15.75" x14ac:dyDescent="0.25">
      <c r="A1" s="1" t="s">
        <v>30</v>
      </c>
    </row>
    <row r="3" spans="1:19" x14ac:dyDescent="0.2">
      <c r="B3" t="s">
        <v>74</v>
      </c>
      <c r="C3" t="s">
        <v>75</v>
      </c>
      <c r="D3" t="s">
        <v>76</v>
      </c>
      <c r="E3" t="s">
        <v>77</v>
      </c>
      <c r="F3" t="s">
        <v>78</v>
      </c>
      <c r="G3" t="s">
        <v>79</v>
      </c>
      <c r="H3" t="s">
        <v>80</v>
      </c>
      <c r="I3" t="s">
        <v>81</v>
      </c>
      <c r="J3" t="s">
        <v>82</v>
      </c>
      <c r="K3" t="s">
        <v>83</v>
      </c>
      <c r="L3" t="s">
        <v>84</v>
      </c>
      <c r="M3" t="s">
        <v>36</v>
      </c>
      <c r="N3" s="33" t="s">
        <v>37</v>
      </c>
      <c r="O3" s="33" t="s">
        <v>38</v>
      </c>
      <c r="P3" s="33" t="s">
        <v>39</v>
      </c>
      <c r="Q3" s="33" t="s">
        <v>40</v>
      </c>
      <c r="R3" s="33" t="s">
        <v>41</v>
      </c>
      <c r="S3" s="33" t="s">
        <v>118</v>
      </c>
    </row>
    <row r="4" spans="1:19" x14ac:dyDescent="0.2">
      <c r="A4" t="s">
        <v>6</v>
      </c>
      <c r="B4">
        <v>26</v>
      </c>
      <c r="C4">
        <v>24</v>
      </c>
      <c r="D4">
        <v>23</v>
      </c>
      <c r="E4">
        <v>26</v>
      </c>
      <c r="F4">
        <v>24</v>
      </c>
      <c r="G4" s="33">
        <v>24</v>
      </c>
      <c r="H4" s="33">
        <v>23</v>
      </c>
      <c r="I4" s="16">
        <v>23</v>
      </c>
      <c r="J4">
        <v>25</v>
      </c>
      <c r="K4" s="31">
        <v>24</v>
      </c>
      <c r="L4">
        <v>24</v>
      </c>
      <c r="M4">
        <v>26</v>
      </c>
      <c r="N4">
        <v>23</v>
      </c>
      <c r="O4">
        <v>24</v>
      </c>
      <c r="P4">
        <v>24</v>
      </c>
      <c r="Q4">
        <v>24</v>
      </c>
      <c r="R4">
        <v>24</v>
      </c>
      <c r="S4">
        <v>24</v>
      </c>
    </row>
    <row r="5" spans="1:19" x14ac:dyDescent="0.2">
      <c r="A5" t="s">
        <v>7</v>
      </c>
      <c r="B5">
        <v>24</v>
      </c>
      <c r="C5">
        <v>25</v>
      </c>
      <c r="D5">
        <v>25</v>
      </c>
      <c r="E5">
        <v>25</v>
      </c>
      <c r="F5">
        <v>24</v>
      </c>
      <c r="G5" s="33">
        <v>24</v>
      </c>
      <c r="H5" s="33">
        <v>24</v>
      </c>
      <c r="I5" s="16">
        <v>26</v>
      </c>
      <c r="J5">
        <v>25</v>
      </c>
      <c r="K5" s="31">
        <v>25</v>
      </c>
      <c r="L5">
        <v>24</v>
      </c>
      <c r="M5">
        <v>24</v>
      </c>
      <c r="N5">
        <v>25</v>
      </c>
      <c r="O5">
        <v>25</v>
      </c>
      <c r="P5">
        <v>25</v>
      </c>
      <c r="Q5">
        <v>24</v>
      </c>
      <c r="R5">
        <v>24</v>
      </c>
      <c r="S5">
        <v>25</v>
      </c>
    </row>
    <row r="6" spans="1:19" x14ac:dyDescent="0.2">
      <c r="A6" t="s">
        <v>8</v>
      </c>
      <c r="B6">
        <v>26</v>
      </c>
      <c r="C6">
        <v>26</v>
      </c>
      <c r="D6">
        <v>26</v>
      </c>
      <c r="E6">
        <v>25</v>
      </c>
      <c r="F6">
        <v>26</v>
      </c>
      <c r="G6" s="33">
        <v>26</v>
      </c>
      <c r="H6" s="33">
        <v>26</v>
      </c>
      <c r="I6" s="16">
        <v>24</v>
      </c>
      <c r="J6">
        <v>25</v>
      </c>
      <c r="K6" s="31">
        <v>25</v>
      </c>
      <c r="L6">
        <v>26</v>
      </c>
      <c r="M6">
        <v>26</v>
      </c>
      <c r="N6">
        <v>26</v>
      </c>
      <c r="O6">
        <v>26</v>
      </c>
      <c r="P6">
        <v>25</v>
      </c>
      <c r="Q6">
        <v>26</v>
      </c>
      <c r="R6">
        <v>26</v>
      </c>
      <c r="S6">
        <v>24</v>
      </c>
    </row>
    <row r="7" spans="1:19" x14ac:dyDescent="0.2">
      <c r="A7" t="s">
        <v>9</v>
      </c>
      <c r="B7">
        <v>26</v>
      </c>
      <c r="C7">
        <v>26</v>
      </c>
      <c r="D7">
        <v>26</v>
      </c>
      <c r="E7">
        <v>27</v>
      </c>
      <c r="F7">
        <v>27</v>
      </c>
      <c r="G7" s="33">
        <v>27</v>
      </c>
      <c r="H7" s="33">
        <v>26</v>
      </c>
      <c r="I7" s="16">
        <v>26</v>
      </c>
      <c r="J7">
        <v>27</v>
      </c>
      <c r="K7" s="31">
        <v>27</v>
      </c>
      <c r="L7">
        <v>27</v>
      </c>
      <c r="M7">
        <v>26</v>
      </c>
      <c r="N7">
        <v>26</v>
      </c>
      <c r="O7">
        <v>26</v>
      </c>
      <c r="P7">
        <v>27</v>
      </c>
      <c r="Q7">
        <v>27</v>
      </c>
      <c r="R7">
        <v>27</v>
      </c>
      <c r="S7">
        <v>26</v>
      </c>
    </row>
    <row r="8" spans="1:19" x14ac:dyDescent="0.2">
      <c r="A8" t="s">
        <v>10</v>
      </c>
      <c r="B8">
        <v>26</v>
      </c>
      <c r="C8">
        <v>26</v>
      </c>
      <c r="D8">
        <v>26</v>
      </c>
      <c r="E8">
        <v>25</v>
      </c>
      <c r="F8">
        <v>25</v>
      </c>
      <c r="G8" s="33">
        <v>25</v>
      </c>
      <c r="H8" s="33">
        <v>26</v>
      </c>
      <c r="I8" s="16">
        <v>26</v>
      </c>
      <c r="J8">
        <v>26</v>
      </c>
      <c r="K8" s="31">
        <v>25</v>
      </c>
      <c r="L8">
        <v>25</v>
      </c>
      <c r="M8">
        <v>26</v>
      </c>
      <c r="N8">
        <v>26</v>
      </c>
      <c r="O8">
        <v>26</v>
      </c>
      <c r="P8">
        <v>26</v>
      </c>
      <c r="Q8">
        <v>25</v>
      </c>
      <c r="R8">
        <v>25</v>
      </c>
      <c r="S8">
        <v>26</v>
      </c>
    </row>
    <row r="9" spans="1:19" x14ac:dyDescent="0.2">
      <c r="A9" t="s">
        <v>11</v>
      </c>
      <c r="B9">
        <v>26</v>
      </c>
      <c r="C9">
        <v>26</v>
      </c>
      <c r="D9">
        <v>25</v>
      </c>
      <c r="E9">
        <v>26</v>
      </c>
      <c r="F9">
        <v>26</v>
      </c>
      <c r="G9" s="33">
        <v>26</v>
      </c>
      <c r="H9" s="33">
        <v>26</v>
      </c>
      <c r="I9" s="16">
        <v>25</v>
      </c>
      <c r="J9">
        <v>25</v>
      </c>
      <c r="K9" s="31">
        <v>26</v>
      </c>
      <c r="L9">
        <v>26</v>
      </c>
      <c r="M9">
        <v>26</v>
      </c>
      <c r="N9">
        <v>26</v>
      </c>
      <c r="O9">
        <v>25</v>
      </c>
      <c r="P9">
        <v>25</v>
      </c>
      <c r="Q9">
        <v>26</v>
      </c>
      <c r="R9">
        <v>26</v>
      </c>
      <c r="S9">
        <v>26</v>
      </c>
    </row>
    <row r="10" spans="1:19" x14ac:dyDescent="0.2">
      <c r="A10" t="s">
        <v>12</v>
      </c>
      <c r="B10">
        <v>26</v>
      </c>
      <c r="C10">
        <v>26</v>
      </c>
      <c r="D10">
        <v>27</v>
      </c>
      <c r="E10">
        <v>27</v>
      </c>
      <c r="F10">
        <v>27</v>
      </c>
      <c r="G10" s="33">
        <v>26</v>
      </c>
      <c r="H10" s="33">
        <v>26</v>
      </c>
      <c r="I10" s="16">
        <v>27</v>
      </c>
      <c r="J10">
        <v>27</v>
      </c>
      <c r="K10" s="31">
        <v>27</v>
      </c>
      <c r="L10">
        <v>27</v>
      </c>
      <c r="M10">
        <v>26</v>
      </c>
      <c r="N10">
        <v>26</v>
      </c>
      <c r="O10">
        <v>27</v>
      </c>
      <c r="P10">
        <v>27</v>
      </c>
      <c r="Q10">
        <v>27</v>
      </c>
      <c r="R10">
        <v>26</v>
      </c>
      <c r="S10">
        <v>26</v>
      </c>
    </row>
    <row r="11" spans="1:19" x14ac:dyDescent="0.2">
      <c r="A11" t="s">
        <v>13</v>
      </c>
      <c r="B11">
        <v>26</v>
      </c>
      <c r="C11">
        <v>26</v>
      </c>
      <c r="D11">
        <v>26</v>
      </c>
      <c r="E11">
        <v>25</v>
      </c>
      <c r="F11">
        <v>25</v>
      </c>
      <c r="G11" s="33">
        <v>26</v>
      </c>
      <c r="H11" s="33">
        <v>26</v>
      </c>
      <c r="I11" s="16">
        <v>26</v>
      </c>
      <c r="J11">
        <v>26</v>
      </c>
      <c r="K11" s="31">
        <v>25</v>
      </c>
      <c r="L11">
        <v>25</v>
      </c>
      <c r="M11">
        <v>26</v>
      </c>
      <c r="N11">
        <v>26</v>
      </c>
      <c r="O11">
        <v>26</v>
      </c>
      <c r="P11">
        <v>26</v>
      </c>
      <c r="Q11">
        <v>25</v>
      </c>
      <c r="R11">
        <v>26</v>
      </c>
      <c r="S11">
        <v>26</v>
      </c>
    </row>
    <row r="12" spans="1:19" x14ac:dyDescent="0.2">
      <c r="A12" t="s">
        <v>14</v>
      </c>
      <c r="B12">
        <v>24</v>
      </c>
      <c r="C12">
        <v>24</v>
      </c>
      <c r="D12">
        <v>24</v>
      </c>
      <c r="E12">
        <v>25</v>
      </c>
      <c r="F12">
        <v>24</v>
      </c>
      <c r="G12" s="33">
        <v>24</v>
      </c>
      <c r="H12">
        <v>25</v>
      </c>
      <c r="I12" s="16">
        <v>24</v>
      </c>
      <c r="J12">
        <v>24</v>
      </c>
      <c r="K12" s="31">
        <v>25</v>
      </c>
      <c r="L12">
        <v>24</v>
      </c>
      <c r="M12">
        <v>25</v>
      </c>
      <c r="N12">
        <v>24</v>
      </c>
      <c r="O12">
        <v>24</v>
      </c>
      <c r="P12">
        <v>24</v>
      </c>
      <c r="Q12">
        <v>24</v>
      </c>
      <c r="R12">
        <v>24</v>
      </c>
      <c r="S12">
        <v>25</v>
      </c>
    </row>
    <row r="13" spans="1:19" x14ac:dyDescent="0.2">
      <c r="A13" t="s">
        <v>15</v>
      </c>
      <c r="B13">
        <v>25</v>
      </c>
      <c r="C13">
        <v>26</v>
      </c>
      <c r="D13">
        <v>26</v>
      </c>
      <c r="E13">
        <v>26</v>
      </c>
      <c r="F13">
        <v>25</v>
      </c>
      <c r="G13" s="33">
        <v>24</v>
      </c>
      <c r="H13" s="33">
        <v>25</v>
      </c>
      <c r="I13" s="16">
        <v>26</v>
      </c>
      <c r="J13">
        <v>26</v>
      </c>
      <c r="K13" s="31">
        <v>26</v>
      </c>
      <c r="L13">
        <v>25</v>
      </c>
      <c r="M13">
        <v>25</v>
      </c>
      <c r="N13">
        <v>26</v>
      </c>
      <c r="O13">
        <v>26</v>
      </c>
      <c r="P13">
        <v>26</v>
      </c>
      <c r="Q13">
        <v>25</v>
      </c>
      <c r="R13">
        <v>24</v>
      </c>
      <c r="S13">
        <v>25</v>
      </c>
    </row>
    <row r="14" spans="1:19" x14ac:dyDescent="0.2">
      <c r="A14" t="s">
        <v>16</v>
      </c>
      <c r="B14">
        <v>24</v>
      </c>
      <c r="C14">
        <v>24</v>
      </c>
      <c r="D14">
        <v>25</v>
      </c>
      <c r="E14">
        <v>24</v>
      </c>
      <c r="F14">
        <v>24</v>
      </c>
      <c r="G14" s="33">
        <v>24</v>
      </c>
      <c r="H14" s="33">
        <v>25</v>
      </c>
      <c r="I14" s="16">
        <v>24</v>
      </c>
      <c r="J14">
        <v>24</v>
      </c>
      <c r="K14" s="31">
        <v>24</v>
      </c>
      <c r="L14">
        <v>25</v>
      </c>
      <c r="M14">
        <v>24</v>
      </c>
      <c r="N14">
        <v>24</v>
      </c>
      <c r="O14">
        <v>24</v>
      </c>
      <c r="P14">
        <v>25</v>
      </c>
      <c r="Q14">
        <v>24</v>
      </c>
      <c r="R14">
        <v>24</v>
      </c>
      <c r="S14">
        <v>24</v>
      </c>
    </row>
    <row r="15" spans="1:19" x14ac:dyDescent="0.2">
      <c r="A15" t="s">
        <v>17</v>
      </c>
      <c r="B15">
        <v>27</v>
      </c>
      <c r="C15">
        <v>27</v>
      </c>
      <c r="D15">
        <v>24</v>
      </c>
      <c r="E15">
        <v>26</v>
      </c>
      <c r="F15">
        <v>27</v>
      </c>
      <c r="G15" s="33">
        <v>27</v>
      </c>
      <c r="H15" s="33">
        <v>27</v>
      </c>
      <c r="I15" s="16">
        <v>25</v>
      </c>
      <c r="J15">
        <v>26</v>
      </c>
      <c r="K15" s="31">
        <v>26</v>
      </c>
      <c r="L15">
        <v>25</v>
      </c>
      <c r="M15">
        <v>27</v>
      </c>
      <c r="N15">
        <v>26</v>
      </c>
      <c r="O15">
        <v>26</v>
      </c>
      <c r="P15">
        <v>26</v>
      </c>
      <c r="Q15">
        <v>27</v>
      </c>
      <c r="R15">
        <v>27</v>
      </c>
      <c r="S15">
        <v>27</v>
      </c>
    </row>
  </sheetData>
  <phoneticPr fontId="3"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A1:I30"/>
  <sheetViews>
    <sheetView workbookViewId="0">
      <selection activeCell="C12" sqref="C12"/>
    </sheetView>
  </sheetViews>
  <sheetFormatPr defaultRowHeight="12.75" x14ac:dyDescent="0.2"/>
  <cols>
    <col min="7" max="7" width="10" bestFit="1" customWidth="1"/>
    <col min="8" max="8" width="11.28515625" bestFit="1" customWidth="1"/>
  </cols>
  <sheetData>
    <row r="1" spans="1:9" x14ac:dyDescent="0.2">
      <c r="A1" t="s">
        <v>85</v>
      </c>
    </row>
    <row r="2" spans="1:9" ht="13.5" thickBot="1" x14ac:dyDescent="0.25"/>
    <row r="3" spans="1:9" x14ac:dyDescent="0.2">
      <c r="A3" s="27" t="s">
        <v>86</v>
      </c>
      <c r="B3" s="27"/>
    </row>
    <row r="4" spans="1:9" x14ac:dyDescent="0.2">
      <c r="A4" t="s">
        <v>87</v>
      </c>
      <c r="B4">
        <v>0.94675904131896715</v>
      </c>
    </row>
    <row r="5" spans="1:9" x14ac:dyDescent="0.2">
      <c r="A5" t="s">
        <v>88</v>
      </c>
      <c r="B5">
        <v>0.89635268231920984</v>
      </c>
    </row>
    <row r="6" spans="1:9" x14ac:dyDescent="0.2">
      <c r="A6" t="s">
        <v>89</v>
      </c>
      <c r="B6">
        <v>0.89149421430292275</v>
      </c>
    </row>
    <row r="7" spans="1:9" x14ac:dyDescent="0.2">
      <c r="A7" t="s">
        <v>90</v>
      </c>
      <c r="B7">
        <v>19944088.611836858</v>
      </c>
    </row>
    <row r="8" spans="1:9" ht="13.5" thickBot="1" x14ac:dyDescent="0.25">
      <c r="A8" s="25" t="s">
        <v>91</v>
      </c>
      <c r="B8" s="25">
        <v>68</v>
      </c>
    </row>
    <row r="10" spans="1:9" ht="13.5" thickBot="1" x14ac:dyDescent="0.25">
      <c r="A10" t="s">
        <v>92</v>
      </c>
    </row>
    <row r="11" spans="1:9" x14ac:dyDescent="0.2">
      <c r="A11" s="26"/>
      <c r="B11" s="26" t="s">
        <v>93</v>
      </c>
      <c r="C11" s="26" t="s">
        <v>94</v>
      </c>
      <c r="D11" s="26" t="s">
        <v>95</v>
      </c>
      <c r="E11" s="26" t="s">
        <v>96</v>
      </c>
      <c r="F11" s="26" t="s">
        <v>97</v>
      </c>
    </row>
    <row r="12" spans="1:9" x14ac:dyDescent="0.2">
      <c r="A12" t="s">
        <v>98</v>
      </c>
      <c r="B12">
        <v>3</v>
      </c>
      <c r="C12">
        <v>2.2015533758514627E+17</v>
      </c>
      <c r="D12">
        <v>7.3385112528382096E+16</v>
      </c>
      <c r="E12">
        <v>184.49286468787429</v>
      </c>
      <c r="F12">
        <v>1.9271858058638496E-31</v>
      </c>
    </row>
    <row r="13" spans="1:9" x14ac:dyDescent="0.2">
      <c r="A13" t="s">
        <v>99</v>
      </c>
      <c r="B13">
        <v>64</v>
      </c>
      <c r="C13">
        <v>2.5457066915635244E+16</v>
      </c>
      <c r="D13">
        <v>397766670556800.69</v>
      </c>
    </row>
    <row r="14" spans="1:9" ht="13.5" thickBot="1" x14ac:dyDescent="0.25">
      <c r="A14" s="25" t="s">
        <v>100</v>
      </c>
      <c r="B14" s="25">
        <v>67</v>
      </c>
      <c r="C14" s="25">
        <v>2.456124045007815E+17</v>
      </c>
      <c r="D14" s="25"/>
      <c r="E14" s="25"/>
      <c r="F14" s="25"/>
    </row>
    <row r="15" spans="1:9" ht="13.5" thickBot="1" x14ac:dyDescent="0.25"/>
    <row r="16" spans="1:9" x14ac:dyDescent="0.2">
      <c r="A16" s="26"/>
      <c r="B16" s="26" t="s">
        <v>101</v>
      </c>
      <c r="C16" s="26" t="s">
        <v>90</v>
      </c>
      <c r="D16" s="26" t="s">
        <v>102</v>
      </c>
      <c r="E16" s="26" t="s">
        <v>103</v>
      </c>
      <c r="F16" s="26" t="s">
        <v>104</v>
      </c>
      <c r="G16" s="26" t="s">
        <v>105</v>
      </c>
      <c r="H16" s="26" t="s">
        <v>106</v>
      </c>
      <c r="I16" s="26" t="s">
        <v>107</v>
      </c>
    </row>
    <row r="17" spans="1:9" x14ac:dyDescent="0.2">
      <c r="A17" t="s">
        <v>108</v>
      </c>
      <c r="B17">
        <v>66259929.477924868</v>
      </c>
      <c r="C17">
        <v>60951714.340607792</v>
      </c>
      <c r="D17">
        <v>1.0870888570525503</v>
      </c>
      <c r="E17">
        <v>0.28107481274189733</v>
      </c>
      <c r="F17">
        <v>-55505117.741808459</v>
      </c>
      <c r="G17">
        <v>188024976.69765818</v>
      </c>
      <c r="H17">
        <v>-55505117.741808459</v>
      </c>
      <c r="I17">
        <v>188024976.69765818</v>
      </c>
    </row>
    <row r="18" spans="1:9" x14ac:dyDescent="0.2">
      <c r="A18" t="s">
        <v>109</v>
      </c>
      <c r="B18">
        <v>20461180.263346486</v>
      </c>
      <c r="C18">
        <v>2334475.0219550529</v>
      </c>
      <c r="D18">
        <v>8.7647886873558658</v>
      </c>
      <c r="E18">
        <v>1.4580514625249047E-12</v>
      </c>
      <c r="F18">
        <v>15797530.284722924</v>
      </c>
      <c r="G18">
        <v>25124830.241970047</v>
      </c>
      <c r="H18">
        <v>15797530.284722924</v>
      </c>
      <c r="I18">
        <v>25124830.241970047</v>
      </c>
    </row>
    <row r="19" spans="1:9" x14ac:dyDescent="0.2">
      <c r="A19" t="s">
        <v>110</v>
      </c>
      <c r="B19">
        <v>31829427.766404893</v>
      </c>
      <c r="C19">
        <v>1472502.2174283722</v>
      </c>
      <c r="D19">
        <v>21.615877646685576</v>
      </c>
      <c r="E19">
        <v>4.0966149445591268E-31</v>
      </c>
      <c r="F19">
        <v>28887766.420599669</v>
      </c>
      <c r="G19">
        <v>34771089.112210117</v>
      </c>
      <c r="H19">
        <v>28887766.420599669</v>
      </c>
      <c r="I19">
        <v>34771089.112210117</v>
      </c>
    </row>
    <row r="20" spans="1:9" ht="13.5" thickBot="1" x14ac:dyDescent="0.25">
      <c r="A20" s="25" t="s">
        <v>111</v>
      </c>
      <c r="B20" s="25">
        <v>3483634.5766923139</v>
      </c>
      <c r="C20" s="25">
        <v>734600.52023061051</v>
      </c>
      <c r="D20" s="25">
        <v>4.7422163213261941</v>
      </c>
      <c r="E20" s="25">
        <v>1.2235989511495012E-5</v>
      </c>
      <c r="F20" s="25">
        <v>2016101.3333504172</v>
      </c>
      <c r="G20" s="25">
        <v>4951167.8200342106</v>
      </c>
      <c r="H20" s="25">
        <v>2016101.3333504172</v>
      </c>
      <c r="I20" s="25">
        <v>4951167.8200342106</v>
      </c>
    </row>
    <row r="27" spans="1:9" x14ac:dyDescent="0.2">
      <c r="A27">
        <v>24</v>
      </c>
      <c r="B27">
        <v>6</v>
      </c>
      <c r="C27">
        <v>12</v>
      </c>
      <c r="D27">
        <v>642566770.65031099</v>
      </c>
      <c r="G27">
        <f>$B$17+A27*$B$18+B27*$B$19+C27*B20</f>
        <v>790108437.31697762</v>
      </c>
      <c r="H27" s="28">
        <f>G27-Data!G32</f>
        <v>790108437.31697762</v>
      </c>
    </row>
    <row r="28" spans="1:9" x14ac:dyDescent="0.2">
      <c r="A28">
        <v>26</v>
      </c>
      <c r="B28">
        <v>6</v>
      </c>
      <c r="C28">
        <v>4</v>
      </c>
      <c r="D28">
        <v>655620054.56346548</v>
      </c>
      <c r="G28">
        <f t="shared" ref="G28:G30" si="0">$B$17+A28*$B$18+B28*$B$19+C28*B21</f>
        <v>789227182.92336285</v>
      </c>
      <c r="H28" s="28">
        <f>G28-Data!G33</f>
        <v>789227182.92336285</v>
      </c>
    </row>
    <row r="29" spans="1:9" x14ac:dyDescent="0.2">
      <c r="A29">
        <v>24</v>
      </c>
      <c r="B29">
        <v>6</v>
      </c>
      <c r="C29">
        <v>1</v>
      </c>
      <c r="D29">
        <v>604246790.30669558</v>
      </c>
      <c r="G29">
        <f t="shared" si="0"/>
        <v>748304822.39666986</v>
      </c>
      <c r="H29" s="28">
        <f>G29-Data!G34</f>
        <v>748304822.39666986</v>
      </c>
    </row>
    <row r="30" spans="1:9" x14ac:dyDescent="0.2">
      <c r="A30">
        <v>26</v>
      </c>
      <c r="B30">
        <v>6</v>
      </c>
      <c r="C30">
        <v>6</v>
      </c>
      <c r="D30">
        <v>662587323.71685016</v>
      </c>
      <c r="G30">
        <f t="shared" si="0"/>
        <v>789227182.92336285</v>
      </c>
      <c r="H30" s="28">
        <f>G30-Data!G35</f>
        <v>789227182.92336285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indexed="31"/>
    <pageSetUpPr fitToPage="1"/>
  </sheetPr>
  <dimension ref="A1:G27"/>
  <sheetViews>
    <sheetView workbookViewId="0">
      <selection activeCell="C25" sqref="C25"/>
    </sheetView>
  </sheetViews>
  <sheetFormatPr defaultColWidth="9.28515625" defaultRowHeight="12.75" x14ac:dyDescent="0.2"/>
  <cols>
    <col min="1" max="1" width="9.28515625" style="17"/>
    <col min="2" max="2" width="20.5703125" style="17" customWidth="1"/>
    <col min="3" max="3" width="16" style="17" customWidth="1"/>
    <col min="4" max="4" width="9.7109375" style="17" customWidth="1"/>
    <col min="5" max="5" width="9.28515625" style="17"/>
    <col min="6" max="6" width="15" style="17" bestFit="1" customWidth="1"/>
    <col min="7" max="16384" width="9.28515625" style="17"/>
  </cols>
  <sheetData>
    <row r="1" spans="1:6" x14ac:dyDescent="0.2">
      <c r="A1" s="18" t="s">
        <v>43</v>
      </c>
      <c r="C1" s="17" t="s">
        <v>112</v>
      </c>
    </row>
    <row r="3" spans="1:6" x14ac:dyDescent="0.2">
      <c r="A3" s="17" t="s">
        <v>113</v>
      </c>
    </row>
    <row r="5" spans="1:6" x14ac:dyDescent="0.2">
      <c r="A5" s="99" t="s">
        <v>44</v>
      </c>
      <c r="B5" s="100" t="s">
        <v>45</v>
      </c>
      <c r="C5" s="100" t="s">
        <v>46</v>
      </c>
      <c r="D5" s="100" t="s">
        <v>47</v>
      </c>
    </row>
    <row r="6" spans="1:6" x14ac:dyDescent="0.2">
      <c r="A6" s="101">
        <v>37956</v>
      </c>
      <c r="B6" s="102" t="s">
        <v>49</v>
      </c>
      <c r="C6" s="100">
        <v>-150</v>
      </c>
      <c r="D6" s="103">
        <f t="shared" ref="D6:D23" si="0">C6/12</f>
        <v>-12.5</v>
      </c>
      <c r="F6" s="2"/>
    </row>
    <row r="7" spans="1:6" x14ac:dyDescent="0.2">
      <c r="A7" s="101">
        <v>38261</v>
      </c>
      <c r="B7" s="104" t="s">
        <v>50</v>
      </c>
      <c r="C7" s="105">
        <v>-150</v>
      </c>
      <c r="D7" s="103">
        <f t="shared" si="0"/>
        <v>-12.5</v>
      </c>
      <c r="F7" s="2"/>
    </row>
    <row r="8" spans="1:6" x14ac:dyDescent="0.2">
      <c r="A8" s="101">
        <v>38384</v>
      </c>
      <c r="B8" s="104" t="s">
        <v>51</v>
      </c>
      <c r="C8" s="105">
        <f>-1800/5</f>
        <v>-360</v>
      </c>
      <c r="D8" s="103">
        <f t="shared" si="0"/>
        <v>-30</v>
      </c>
      <c r="F8" s="2"/>
    </row>
    <row r="9" spans="1:6" x14ac:dyDescent="0.2">
      <c r="A9" s="101">
        <v>38443</v>
      </c>
      <c r="B9" s="104" t="s">
        <v>52</v>
      </c>
      <c r="C9" s="105">
        <v>-300</v>
      </c>
      <c r="D9" s="103">
        <f t="shared" si="0"/>
        <v>-25</v>
      </c>
      <c r="F9" s="2"/>
    </row>
    <row r="10" spans="1:6" x14ac:dyDescent="0.2">
      <c r="A10" s="101">
        <v>38991</v>
      </c>
      <c r="B10" s="104" t="s">
        <v>53</v>
      </c>
      <c r="C10" s="105">
        <v>-300</v>
      </c>
      <c r="D10" s="103">
        <f t="shared" si="0"/>
        <v>-25</v>
      </c>
      <c r="F10" s="2"/>
    </row>
    <row r="11" spans="1:6" x14ac:dyDescent="0.2">
      <c r="A11" s="106">
        <v>39264</v>
      </c>
      <c r="B11" s="107" t="s">
        <v>54</v>
      </c>
      <c r="C11" s="105">
        <v>-120</v>
      </c>
      <c r="D11" s="103">
        <f t="shared" si="0"/>
        <v>-10</v>
      </c>
      <c r="F11" s="2"/>
    </row>
    <row r="12" spans="1:6" x14ac:dyDescent="0.2">
      <c r="A12" s="106">
        <v>39356</v>
      </c>
      <c r="B12" s="104" t="s">
        <v>55</v>
      </c>
      <c r="C12" s="105">
        <v>-400</v>
      </c>
      <c r="D12" s="103">
        <f t="shared" si="0"/>
        <v>-33.333333333333336</v>
      </c>
      <c r="F12" s="2"/>
    </row>
    <row r="13" spans="1:6" x14ac:dyDescent="0.2">
      <c r="A13" s="106">
        <v>39722</v>
      </c>
      <c r="B13" s="104" t="s">
        <v>56</v>
      </c>
      <c r="C13" s="105">
        <v>-130</v>
      </c>
      <c r="D13" s="103">
        <f t="shared" si="0"/>
        <v>-10.833333333333334</v>
      </c>
      <c r="F13" s="2"/>
    </row>
    <row r="14" spans="1:6" x14ac:dyDescent="0.2">
      <c r="A14" s="106">
        <v>39873</v>
      </c>
      <c r="B14" s="104" t="s">
        <v>114</v>
      </c>
      <c r="C14" s="100">
        <v>-160</v>
      </c>
      <c r="D14" s="103">
        <f t="shared" si="0"/>
        <v>-13.333333333333334</v>
      </c>
      <c r="F14" s="2"/>
    </row>
    <row r="15" spans="1:6" x14ac:dyDescent="0.2">
      <c r="A15" s="106">
        <v>40087</v>
      </c>
      <c r="B15" s="104" t="s">
        <v>58</v>
      </c>
      <c r="C15" s="100">
        <v>-80</v>
      </c>
      <c r="D15" s="103">
        <f t="shared" si="0"/>
        <v>-6.666666666666667</v>
      </c>
      <c r="F15" s="2"/>
    </row>
    <row r="16" spans="1:6" x14ac:dyDescent="0.2">
      <c r="A16" s="106">
        <v>40210</v>
      </c>
      <c r="B16" s="104" t="s">
        <v>115</v>
      </c>
      <c r="C16" s="100">
        <v>-80</v>
      </c>
      <c r="D16" s="103">
        <f t="shared" si="0"/>
        <v>-6.666666666666667</v>
      </c>
      <c r="F16" s="2"/>
    </row>
    <row r="17" spans="1:7" x14ac:dyDescent="0.2">
      <c r="A17" s="106">
        <v>40452</v>
      </c>
      <c r="B17" s="104" t="s">
        <v>60</v>
      </c>
      <c r="C17" s="100">
        <v>-240</v>
      </c>
      <c r="D17" s="103">
        <f t="shared" si="0"/>
        <v>-20</v>
      </c>
      <c r="F17" s="2"/>
    </row>
    <row r="18" spans="1:7" x14ac:dyDescent="0.2">
      <c r="A18" s="22">
        <v>40544</v>
      </c>
      <c r="B18" s="104" t="s">
        <v>116</v>
      </c>
      <c r="C18" s="100">
        <v>5.7</v>
      </c>
      <c r="D18" s="103">
        <f t="shared" si="0"/>
        <v>0.47500000000000003</v>
      </c>
      <c r="F18" s="2"/>
    </row>
    <row r="19" spans="1:7" x14ac:dyDescent="0.2">
      <c r="A19" s="106">
        <v>40634</v>
      </c>
      <c r="B19" s="104" t="s">
        <v>62</v>
      </c>
      <c r="C19" s="100">
        <v>-90</v>
      </c>
      <c r="D19" s="103">
        <f t="shared" si="0"/>
        <v>-7.5</v>
      </c>
      <c r="F19" s="2"/>
    </row>
    <row r="20" spans="1:7" x14ac:dyDescent="0.2">
      <c r="A20" s="22">
        <v>40634</v>
      </c>
      <c r="B20" s="20" t="s">
        <v>63</v>
      </c>
      <c r="C20" s="19">
        <v>-150</v>
      </c>
      <c r="D20" s="21">
        <f t="shared" si="0"/>
        <v>-12.5</v>
      </c>
      <c r="F20" s="2"/>
    </row>
    <row r="21" spans="1:7" x14ac:dyDescent="0.2">
      <c r="A21" s="108">
        <v>40817</v>
      </c>
      <c r="B21" s="104" t="s">
        <v>64</v>
      </c>
      <c r="C21" s="100">
        <v>-156</v>
      </c>
      <c r="D21" s="103">
        <f t="shared" si="0"/>
        <v>-13</v>
      </c>
      <c r="F21" s="2"/>
    </row>
    <row r="22" spans="1:7" x14ac:dyDescent="0.2">
      <c r="A22" s="108">
        <v>41000</v>
      </c>
      <c r="B22" s="104" t="s">
        <v>66</v>
      </c>
      <c r="C22" s="100">
        <v>-40</v>
      </c>
      <c r="D22" s="103">
        <f t="shared" si="0"/>
        <v>-3.3333333333333335</v>
      </c>
      <c r="F22" s="2"/>
    </row>
    <row r="23" spans="1:7" x14ac:dyDescent="0.2">
      <c r="A23" s="108">
        <v>41000</v>
      </c>
      <c r="B23" s="20" t="s">
        <v>63</v>
      </c>
      <c r="C23" s="19">
        <v>-100</v>
      </c>
      <c r="D23" s="103">
        <f t="shared" si="0"/>
        <v>-8.3333333333333339</v>
      </c>
      <c r="F23" s="2"/>
    </row>
    <row r="24" spans="1:7" x14ac:dyDescent="0.2">
      <c r="A24" s="108">
        <v>41061</v>
      </c>
      <c r="B24" s="104" t="s">
        <v>67</v>
      </c>
      <c r="C24" s="109">
        <v>-266.91289109999997</v>
      </c>
      <c r="D24" s="24">
        <v>-22.242740924999996</v>
      </c>
      <c r="G24" s="23"/>
    </row>
    <row r="25" spans="1:7" x14ac:dyDescent="0.2">
      <c r="A25" s="108">
        <v>41183</v>
      </c>
      <c r="B25" s="104" t="s">
        <v>68</v>
      </c>
      <c r="C25" s="105">
        <v>-185</v>
      </c>
      <c r="D25" s="103">
        <f>C25/12</f>
        <v>-15.416666666666666</v>
      </c>
    </row>
    <row r="27" spans="1:7" x14ac:dyDescent="0.2">
      <c r="A27" s="18" t="s">
        <v>117</v>
      </c>
    </row>
  </sheetData>
  <pageMargins left="0.26" right="0.45" top="1" bottom="1" header="0.5" footer="0.5"/>
  <pageSetup paperSize="9" scale="57"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F8E0C-F4E9-4D1F-A763-0E88E61F7E00}">
  <sheetPr>
    <tabColor rgb="FF7030A0"/>
  </sheetPr>
  <dimension ref="A1"/>
  <sheetViews>
    <sheetView showGridLines="0" workbookViewId="0"/>
  </sheetViews>
  <sheetFormatPr defaultRowHeight="12.75" x14ac:dyDescent="0.2"/>
  <sheetData>
    <row r="1" spans="1:1" ht="23.25" x14ac:dyDescent="0.35">
      <c r="A1" s="121" t="s">
        <v>137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08E30-00CF-4228-AE4F-71356BD3D9AC}">
  <dimension ref="B2:L32"/>
  <sheetViews>
    <sheetView showGridLines="0" workbookViewId="0">
      <selection activeCell="I17" sqref="I17"/>
    </sheetView>
  </sheetViews>
  <sheetFormatPr defaultRowHeight="12.75" x14ac:dyDescent="0.2"/>
  <cols>
    <col min="2" max="2" width="12.7109375" customWidth="1"/>
    <col min="3" max="3" width="17.7109375" customWidth="1"/>
    <col min="4" max="4" width="12.7109375" customWidth="1"/>
    <col min="5" max="5" width="16.28515625" customWidth="1"/>
    <col min="6" max="6" width="26.28515625" customWidth="1"/>
    <col min="7" max="7" width="18" customWidth="1"/>
    <col min="8" max="8" width="21.28515625" style="113" customWidth="1"/>
    <col min="9" max="9" width="10.85546875" bestFit="1" customWidth="1"/>
    <col min="11" max="12" width="12.28515625" bestFit="1" customWidth="1"/>
  </cols>
  <sheetData>
    <row r="2" spans="2:9" ht="60" x14ac:dyDescent="0.25">
      <c r="B2" s="87" t="str">
        <f>Data!G6</f>
        <v>2022/23</v>
      </c>
      <c r="C2" s="88" t="s">
        <v>4</v>
      </c>
      <c r="D2" s="88" t="s">
        <v>5</v>
      </c>
      <c r="F2" s="88" t="s">
        <v>119</v>
      </c>
      <c r="G2" s="88" t="s">
        <v>120</v>
      </c>
    </row>
    <row r="3" spans="2:9" ht="15" x14ac:dyDescent="0.25">
      <c r="B3" s="87" t="s">
        <v>6</v>
      </c>
      <c r="C3" s="89">
        <f>Forecasting!E4/Forecasting!$E$17</f>
        <v>8.0832957530790728E-2</v>
      </c>
      <c r="D3" s="89">
        <f>SUM($C$3:C3)</f>
        <v>8.0832957530790728E-2</v>
      </c>
      <c r="F3" s="89">
        <f>ROUND(C3,4)</f>
        <v>8.0799999999999997E-2</v>
      </c>
      <c r="G3" s="89">
        <f>SUM($F$3:F3)</f>
        <v>8.0799999999999997E-2</v>
      </c>
      <c r="I3" s="112"/>
    </row>
    <row r="4" spans="2:9" ht="15" x14ac:dyDescent="0.25">
      <c r="B4" s="87" t="s">
        <v>7</v>
      </c>
      <c r="C4" s="89">
        <f>Forecasting!E5/Forecasting!$E$17</f>
        <v>8.3211834154378564E-2</v>
      </c>
      <c r="D4" s="89">
        <f>SUM($C$3:C4)</f>
        <v>0.16404479168516928</v>
      </c>
      <c r="F4" s="89">
        <f t="shared" ref="F4:F14" si="0">ROUND(C4,4)</f>
        <v>8.3199999999999996E-2</v>
      </c>
      <c r="G4" s="89">
        <f>SUM($F$3:F4)</f>
        <v>0.16399999999999998</v>
      </c>
      <c r="I4" s="112"/>
    </row>
    <row r="5" spans="2:9" ht="15" x14ac:dyDescent="0.25">
      <c r="B5" s="87" t="s">
        <v>8</v>
      </c>
      <c r="C5" s="89">
        <f>Forecasting!E6/Forecasting!$E$17</f>
        <v>7.7266827512649128E-2</v>
      </c>
      <c r="D5" s="89">
        <f>SUM($C$3:C5)</f>
        <v>0.24131161919781841</v>
      </c>
      <c r="F5" s="89">
        <f t="shared" si="0"/>
        <v>7.7299999999999994E-2</v>
      </c>
      <c r="G5" s="89">
        <f>SUM($F$3:F5)</f>
        <v>0.24129999999999996</v>
      </c>
      <c r="I5" s="112"/>
    </row>
    <row r="6" spans="2:9" ht="15" x14ac:dyDescent="0.25">
      <c r="B6" s="87" t="s">
        <v>9</v>
      </c>
      <c r="C6" s="89">
        <f>Forecasting!E7/Forecasting!$E$17</f>
        <v>8.1624239671812884E-2</v>
      </c>
      <c r="D6" s="89">
        <f>SUM($C$3:C6)</f>
        <v>0.32293585886963128</v>
      </c>
      <c r="F6" s="89">
        <f t="shared" si="0"/>
        <v>8.1600000000000006E-2</v>
      </c>
      <c r="G6" s="89">
        <f>SUM($F$3:F6)</f>
        <v>0.32289999999999996</v>
      </c>
      <c r="I6" s="112"/>
    </row>
    <row r="7" spans="2:9" ht="15" x14ac:dyDescent="0.25">
      <c r="B7" s="87" t="s">
        <v>10</v>
      </c>
      <c r="C7" s="89">
        <f>Forecasting!E8/Forecasting!$E$17</f>
        <v>8.2882274645594514E-2</v>
      </c>
      <c r="D7" s="89">
        <f>SUM($C$3:C7)</f>
        <v>0.40581813351522578</v>
      </c>
      <c r="F7" s="89">
        <f t="shared" si="0"/>
        <v>8.2900000000000001E-2</v>
      </c>
      <c r="G7" s="89">
        <f>SUM($F$3:F7)</f>
        <v>0.40579999999999994</v>
      </c>
      <c r="I7" s="112"/>
    </row>
    <row r="8" spans="2:9" ht="15" x14ac:dyDescent="0.25">
      <c r="B8" s="87" t="s">
        <v>11</v>
      </c>
      <c r="C8" s="89">
        <f>Forecasting!E9/Forecasting!$E$17</f>
        <v>8.5344455969951091E-2</v>
      </c>
      <c r="D8" s="89">
        <f>SUM($C$3:C8)</f>
        <v>0.49116258948517688</v>
      </c>
      <c r="F8" s="89">
        <f t="shared" si="0"/>
        <v>8.5300000000000001E-2</v>
      </c>
      <c r="G8" s="89">
        <f>SUM($F$3:F8)</f>
        <v>0.49109999999999993</v>
      </c>
      <c r="I8" s="112"/>
    </row>
    <row r="9" spans="2:9" ht="15" x14ac:dyDescent="0.25">
      <c r="B9" s="87" t="s">
        <v>12</v>
      </c>
      <c r="C9" s="89">
        <f>Forecasting!E10/Forecasting!$E$17</f>
        <v>8.6067063359177021E-2</v>
      </c>
      <c r="D9" s="89">
        <f>SUM($C$3:C9)</f>
        <v>0.5772296528443539</v>
      </c>
      <c r="F9" s="89">
        <f t="shared" si="0"/>
        <v>8.6099999999999996E-2</v>
      </c>
      <c r="G9" s="89">
        <f>SUM($F$3:F9)</f>
        <v>0.57719999999999994</v>
      </c>
      <c r="I9" s="112"/>
    </row>
    <row r="10" spans="2:9" ht="15" x14ac:dyDescent="0.25">
      <c r="B10" s="87" t="s">
        <v>13</v>
      </c>
      <c r="C10" s="89">
        <f>Forecasting!E11/Forecasting!$E$17</f>
        <v>8.5780287690055732E-2</v>
      </c>
      <c r="D10" s="89">
        <f>SUM($C$3:C10)</f>
        <v>0.66300994053440965</v>
      </c>
      <c r="F10" s="89">
        <f t="shared" si="0"/>
        <v>8.5800000000000001E-2</v>
      </c>
      <c r="G10" s="89">
        <f>SUM($F$3:F10)</f>
        <v>0.66299999999999992</v>
      </c>
      <c r="I10" s="112"/>
    </row>
    <row r="11" spans="2:9" ht="15" x14ac:dyDescent="0.25">
      <c r="B11" s="87" t="s">
        <v>14</v>
      </c>
      <c r="C11" s="89">
        <f>Forecasting!E12/Forecasting!$E$17</f>
        <v>8.9170336842469972E-2</v>
      </c>
      <c r="D11" s="89">
        <f>SUM($C$3:C11)</f>
        <v>0.75218027737687965</v>
      </c>
      <c r="F11" s="89">
        <f t="shared" si="0"/>
        <v>8.9200000000000002E-2</v>
      </c>
      <c r="G11" s="89">
        <f>SUM($F$3:F11)</f>
        <v>0.75219999999999998</v>
      </c>
      <c r="I11" s="112"/>
    </row>
    <row r="12" spans="2:9" ht="15" x14ac:dyDescent="0.25">
      <c r="B12" s="87" t="s">
        <v>15</v>
      </c>
      <c r="C12" s="89">
        <f>Forecasting!E13/Forecasting!$E$17</f>
        <v>8.2704520279092364E-2</v>
      </c>
      <c r="D12" s="89">
        <f>SUM($C$3:C12)</f>
        <v>0.83488479765597201</v>
      </c>
      <c r="F12" s="89">
        <f t="shared" si="0"/>
        <v>8.2699999999999996E-2</v>
      </c>
      <c r="G12" s="89">
        <f>SUM($F$3:F12)</f>
        <v>0.83489999999999998</v>
      </c>
      <c r="I12" s="112"/>
    </row>
    <row r="13" spans="2:9" ht="15" x14ac:dyDescent="0.25">
      <c r="B13" s="87" t="s">
        <v>16</v>
      </c>
      <c r="C13" s="89">
        <f>Forecasting!E14/Forecasting!$E$17</f>
        <v>7.6397497967644043E-2</v>
      </c>
      <c r="D13" s="89">
        <f>SUM($C$3:C13)</f>
        <v>0.91128229562361607</v>
      </c>
      <c r="F13" s="89">
        <f t="shared" si="0"/>
        <v>7.6399999999999996E-2</v>
      </c>
      <c r="G13" s="89">
        <f>SUM($F$3:F13)</f>
        <v>0.9113</v>
      </c>
      <c r="I13" s="112"/>
    </row>
    <row r="14" spans="2:9" ht="15" x14ac:dyDescent="0.25">
      <c r="B14" s="87" t="s">
        <v>17</v>
      </c>
      <c r="C14" s="89">
        <f>Forecasting!E15/Forecasting!$E$17</f>
        <v>8.8717704376383863E-2</v>
      </c>
      <c r="D14" s="89">
        <f>SUM($C$3:C14)</f>
        <v>0.99999999999999989</v>
      </c>
      <c r="F14" s="89">
        <f t="shared" si="0"/>
        <v>8.8700000000000001E-2</v>
      </c>
      <c r="G14" s="89">
        <f>SUM($F$3:F14)</f>
        <v>1</v>
      </c>
      <c r="I14" s="112"/>
    </row>
    <row r="19" spans="2:12" x14ac:dyDescent="0.2">
      <c r="B19" s="33" t="s">
        <v>18</v>
      </c>
    </row>
    <row r="20" spans="2:12" ht="75" x14ac:dyDescent="0.25">
      <c r="B20" s="87" t="str">
        <f>Data!G23</f>
        <v>2022/23</v>
      </c>
      <c r="C20" s="85" t="s">
        <v>19</v>
      </c>
      <c r="D20" s="85" t="s">
        <v>4</v>
      </c>
      <c r="E20" s="85" t="s">
        <v>20</v>
      </c>
      <c r="F20" s="90" t="s">
        <v>5</v>
      </c>
    </row>
    <row r="21" spans="2:12" ht="15" x14ac:dyDescent="0.25">
      <c r="B21" s="87" t="s">
        <v>6</v>
      </c>
      <c r="C21" s="77">
        <f>Forecasting!D4/Forecasting!$D$17</f>
        <v>8.0832957530790728E-2</v>
      </c>
      <c r="D21" s="91">
        <f t="shared" ref="D21:D32" si="1">C3</f>
        <v>8.0832957530790728E-2</v>
      </c>
      <c r="E21" s="77">
        <f>SUM($C$21:C21)</f>
        <v>8.0832957530790728E-2</v>
      </c>
      <c r="F21" s="89">
        <f>D3</f>
        <v>8.0832957530790728E-2</v>
      </c>
      <c r="I21" s="113"/>
      <c r="K21" s="112"/>
      <c r="L21" s="112"/>
    </row>
    <row r="22" spans="2:12" ht="15" x14ac:dyDescent="0.25">
      <c r="B22" s="87" t="s">
        <v>7</v>
      </c>
      <c r="C22" s="77">
        <f>Forecasting!D5/Forecasting!$D$17</f>
        <v>8.3211834154378564E-2</v>
      </c>
      <c r="D22" s="91">
        <f t="shared" si="1"/>
        <v>8.3211834154378564E-2</v>
      </c>
      <c r="E22" s="77">
        <f>SUM($C$21:C22)</f>
        <v>0.16404479168516928</v>
      </c>
      <c r="F22" s="89">
        <f t="shared" ref="F22:F32" si="2">D4</f>
        <v>0.16404479168516928</v>
      </c>
      <c r="I22" s="113"/>
      <c r="K22" s="112"/>
      <c r="L22" s="112"/>
    </row>
    <row r="23" spans="2:12" ht="15" x14ac:dyDescent="0.25">
      <c r="B23" s="87" t="s">
        <v>8</v>
      </c>
      <c r="C23" s="77">
        <f>Forecasting!D6/Forecasting!$D$17</f>
        <v>7.7266827512649128E-2</v>
      </c>
      <c r="D23" s="91">
        <f t="shared" si="1"/>
        <v>7.7266827512649128E-2</v>
      </c>
      <c r="E23" s="77">
        <f>SUM($C$21:C23)</f>
        <v>0.24131161919781841</v>
      </c>
      <c r="F23" s="89">
        <f t="shared" si="2"/>
        <v>0.24131161919781841</v>
      </c>
      <c r="I23" s="113"/>
      <c r="K23" s="112"/>
      <c r="L23" s="112"/>
    </row>
    <row r="24" spans="2:12" ht="15" x14ac:dyDescent="0.25">
      <c r="B24" s="87" t="s">
        <v>9</v>
      </c>
      <c r="C24" s="77">
        <f>Forecasting!D7/Forecasting!$D$17</f>
        <v>8.1624239671812884E-2</v>
      </c>
      <c r="D24" s="91">
        <f t="shared" si="1"/>
        <v>8.1624239671812884E-2</v>
      </c>
      <c r="E24" s="77">
        <f>SUM($C$21:C24)</f>
        <v>0.32293585886963128</v>
      </c>
      <c r="F24" s="89">
        <f t="shared" si="2"/>
        <v>0.32293585886963128</v>
      </c>
      <c r="I24" s="113"/>
      <c r="K24" s="112"/>
      <c r="L24" s="112"/>
    </row>
    <row r="25" spans="2:12" ht="15" x14ac:dyDescent="0.25">
      <c r="B25" s="87" t="s">
        <v>10</v>
      </c>
      <c r="C25" s="77">
        <f>Forecasting!D8/Forecasting!$D$17</f>
        <v>8.2882274645594514E-2</v>
      </c>
      <c r="D25" s="91">
        <f t="shared" si="1"/>
        <v>8.2882274645594514E-2</v>
      </c>
      <c r="E25" s="77">
        <f>SUM($C$21:C25)</f>
        <v>0.40581813351522578</v>
      </c>
      <c r="F25" s="89">
        <f t="shared" si="2"/>
        <v>0.40581813351522578</v>
      </c>
      <c r="I25" s="113"/>
      <c r="K25" s="112"/>
      <c r="L25" s="112"/>
    </row>
    <row r="26" spans="2:12" ht="15" x14ac:dyDescent="0.25">
      <c r="B26" s="87" t="s">
        <v>11</v>
      </c>
      <c r="C26" s="77">
        <f>Forecasting!D9/Forecasting!$D$17</f>
        <v>8.5344455969951091E-2</v>
      </c>
      <c r="D26" s="91">
        <f t="shared" si="1"/>
        <v>8.5344455969951091E-2</v>
      </c>
      <c r="E26" s="77">
        <f>SUM($C$21:C26)</f>
        <v>0.49116258948517688</v>
      </c>
      <c r="F26" s="89">
        <f t="shared" si="2"/>
        <v>0.49116258948517688</v>
      </c>
      <c r="I26" s="113"/>
      <c r="J26" s="86"/>
      <c r="K26" s="112"/>
      <c r="L26" s="112"/>
    </row>
    <row r="27" spans="2:12" ht="15" x14ac:dyDescent="0.25">
      <c r="B27" s="87" t="s">
        <v>12</v>
      </c>
      <c r="C27" s="77">
        <f>Forecasting!D10/Forecasting!$D$17</f>
        <v>8.6067063359177021E-2</v>
      </c>
      <c r="D27" s="91">
        <f t="shared" si="1"/>
        <v>8.6067063359177021E-2</v>
      </c>
      <c r="E27" s="77">
        <f>SUM($C$21:C27)</f>
        <v>0.5772296528443539</v>
      </c>
      <c r="F27" s="89">
        <f t="shared" si="2"/>
        <v>0.5772296528443539</v>
      </c>
      <c r="I27" s="113"/>
      <c r="K27" s="112"/>
      <c r="L27" s="112"/>
    </row>
    <row r="28" spans="2:12" ht="15" x14ac:dyDescent="0.25">
      <c r="B28" s="87" t="s">
        <v>13</v>
      </c>
      <c r="C28" s="77">
        <f>Forecasting!D11/Forecasting!$D$17</f>
        <v>8.5780287690055732E-2</v>
      </c>
      <c r="D28" s="91">
        <f t="shared" si="1"/>
        <v>8.5780287690055732E-2</v>
      </c>
      <c r="E28" s="77">
        <f>SUM($C$21:C28)</f>
        <v>0.66300994053440965</v>
      </c>
      <c r="F28" s="89">
        <f t="shared" si="2"/>
        <v>0.66300994053440965</v>
      </c>
      <c r="I28" s="113"/>
      <c r="K28" s="112"/>
      <c r="L28" s="112"/>
    </row>
    <row r="29" spans="2:12" ht="15" x14ac:dyDescent="0.25">
      <c r="B29" s="87" t="s">
        <v>14</v>
      </c>
      <c r="C29" s="77">
        <f>Forecasting!D12/Forecasting!$D$17</f>
        <v>8.9170336842469972E-2</v>
      </c>
      <c r="D29" s="91">
        <f t="shared" si="1"/>
        <v>8.9170336842469972E-2</v>
      </c>
      <c r="E29" s="77">
        <f>SUM($C$21:C29)</f>
        <v>0.75218027737687965</v>
      </c>
      <c r="F29" s="89">
        <f t="shared" si="2"/>
        <v>0.75218027737687965</v>
      </c>
      <c r="I29" s="113"/>
      <c r="K29" s="112"/>
      <c r="L29" s="112"/>
    </row>
    <row r="30" spans="2:12" ht="15" x14ac:dyDescent="0.25">
      <c r="B30" s="87" t="s">
        <v>15</v>
      </c>
      <c r="C30" s="77">
        <f>Forecasting!D13/Forecasting!$D$17</f>
        <v>8.2704520279092364E-2</v>
      </c>
      <c r="D30" s="91">
        <f t="shared" si="1"/>
        <v>8.2704520279092364E-2</v>
      </c>
      <c r="E30" s="77">
        <f>SUM($C$21:C30)</f>
        <v>0.83488479765597201</v>
      </c>
      <c r="F30" s="89">
        <f t="shared" si="2"/>
        <v>0.83488479765597201</v>
      </c>
      <c r="I30" s="113"/>
      <c r="K30" s="112"/>
      <c r="L30" s="112"/>
    </row>
    <row r="31" spans="2:12" ht="15" x14ac:dyDescent="0.25">
      <c r="B31" s="87" t="s">
        <v>16</v>
      </c>
      <c r="C31" s="77">
        <f>Forecasting!D14/Forecasting!$D$17</f>
        <v>7.6397497967644043E-2</v>
      </c>
      <c r="D31" s="91">
        <f t="shared" si="1"/>
        <v>7.6397497967644043E-2</v>
      </c>
      <c r="E31" s="77">
        <f>SUM($C$21:C31)</f>
        <v>0.91128229562361607</v>
      </c>
      <c r="F31" s="89">
        <f t="shared" si="2"/>
        <v>0.91128229562361607</v>
      </c>
      <c r="I31" s="113"/>
      <c r="K31" s="112"/>
      <c r="L31" s="112"/>
    </row>
    <row r="32" spans="2:12" ht="15" x14ac:dyDescent="0.25">
      <c r="B32" s="87" t="s">
        <v>17</v>
      </c>
      <c r="C32" s="77">
        <f>Forecasting!D15/Forecasting!$D$17</f>
        <v>8.8717704376383863E-2</v>
      </c>
      <c r="D32" s="91">
        <f t="shared" si="1"/>
        <v>8.8717704376383863E-2</v>
      </c>
      <c r="E32" s="77">
        <f>SUM($C$21:C32)</f>
        <v>0.99999999999999989</v>
      </c>
      <c r="F32" s="89">
        <f t="shared" si="2"/>
        <v>0.99999999999999989</v>
      </c>
      <c r="I32" s="113"/>
      <c r="K32" s="112"/>
      <c r="L32" s="11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16F94-CC3E-4A8B-8C65-3EF831CABAD5}">
  <dimension ref="B2:F22"/>
  <sheetViews>
    <sheetView showGridLines="0" workbookViewId="0">
      <selection activeCell="E22" sqref="E22"/>
    </sheetView>
  </sheetViews>
  <sheetFormatPr defaultRowHeight="12.75" x14ac:dyDescent="0.2"/>
  <cols>
    <col min="2" max="2" width="12.42578125" customWidth="1"/>
    <col min="3" max="4" width="16.5703125" customWidth="1"/>
    <col min="5" max="5" width="16.7109375" bestFit="1" customWidth="1"/>
    <col min="6" max="6" width="14.7109375" bestFit="1" customWidth="1"/>
    <col min="7" max="7" width="10.7109375" bestFit="1" customWidth="1"/>
  </cols>
  <sheetData>
    <row r="2" spans="2:6" ht="13.5" thickBot="1" x14ac:dyDescent="0.25">
      <c r="B2" s="33" t="s">
        <v>21</v>
      </c>
    </row>
    <row r="3" spans="2:6" ht="13.5" thickBot="1" x14ac:dyDescent="0.25">
      <c r="B3" s="60" t="str">
        <f>Data!G6</f>
        <v>2022/23</v>
      </c>
      <c r="C3" s="69" t="s">
        <v>22</v>
      </c>
      <c r="D3" s="73" t="s">
        <v>23</v>
      </c>
      <c r="E3" s="74" t="s">
        <v>24</v>
      </c>
    </row>
    <row r="4" spans="2:6" ht="13.5" thickBot="1" x14ac:dyDescent="0.25">
      <c r="B4" s="61" t="s">
        <v>6</v>
      </c>
      <c r="C4" s="62">
        <f>Data!G7</f>
        <v>0</v>
      </c>
      <c r="D4" s="62">
        <f>(CalculateAverages!H4*CalculateAverages!D64)-Data!G24</f>
        <v>706401353.07536221</v>
      </c>
      <c r="E4" s="75">
        <f>IF(C4&lt;&gt;0,C4,D4)</f>
        <v>706401353.07536221</v>
      </c>
    </row>
    <row r="5" spans="2:6" ht="13.5" thickBot="1" x14ac:dyDescent="0.25">
      <c r="B5" s="63" t="s">
        <v>7</v>
      </c>
      <c r="C5" s="64">
        <f>Data!G8</f>
        <v>0</v>
      </c>
      <c r="D5" s="64">
        <f>(CalculateAverages!H5*CalculateAverages!D65)-Data!G25</f>
        <v>727190418.78611124</v>
      </c>
      <c r="E5" s="75">
        <f t="shared" ref="E5:E15" si="0">IF(C5&lt;&gt;0,C5,D5)</f>
        <v>727190418.78611124</v>
      </c>
      <c r="F5" s="2"/>
    </row>
    <row r="6" spans="2:6" ht="13.5" thickBot="1" x14ac:dyDescent="0.25">
      <c r="B6" s="63" t="s">
        <v>8</v>
      </c>
      <c r="C6" s="64">
        <f>Data!G9</f>
        <v>0</v>
      </c>
      <c r="D6" s="64">
        <f>(CalculateAverages!H6*CalculateAverages!D66)-Data!G26</f>
        <v>675236848.55876923</v>
      </c>
      <c r="E6" s="75">
        <f t="shared" si="0"/>
        <v>675236848.55876923</v>
      </c>
      <c r="F6" s="2"/>
    </row>
    <row r="7" spans="2:6" ht="13.5" thickBot="1" x14ac:dyDescent="0.25">
      <c r="B7" s="63" t="s">
        <v>9</v>
      </c>
      <c r="C7" s="64">
        <f>Data!G10</f>
        <v>0</v>
      </c>
      <c r="D7" s="64">
        <f>(CalculateAverages!H7*CalculateAverages!D67)-Data!G27</f>
        <v>713316388.62716055</v>
      </c>
      <c r="E7" s="75">
        <f t="shared" si="0"/>
        <v>713316388.62716055</v>
      </c>
      <c r="F7" s="2"/>
    </row>
    <row r="8" spans="2:6" ht="13.5" thickBot="1" x14ac:dyDescent="0.25">
      <c r="B8" s="63" t="s">
        <v>10</v>
      </c>
      <c r="C8" s="64">
        <f>Data!G11</f>
        <v>0</v>
      </c>
      <c r="D8" s="64">
        <f>(CalculateAverages!H8*CalculateAverages!D68)-Data!G28</f>
        <v>724310389.52533329</v>
      </c>
      <c r="E8" s="75">
        <f t="shared" si="0"/>
        <v>724310389.52533329</v>
      </c>
      <c r="F8" s="2"/>
    </row>
    <row r="9" spans="2:6" ht="13.5" thickBot="1" x14ac:dyDescent="0.25">
      <c r="B9" s="63" t="s">
        <v>11</v>
      </c>
      <c r="C9" s="64">
        <f>Data!G12</f>
        <v>0</v>
      </c>
      <c r="D9" s="64">
        <f>(CalculateAverages!H9*CalculateAverages!D69)-Data!G29</f>
        <v>745827457.21866667</v>
      </c>
      <c r="E9" s="75">
        <f t="shared" si="0"/>
        <v>745827457.21866667</v>
      </c>
      <c r="F9" s="2"/>
    </row>
    <row r="10" spans="2:6" ht="13.5" thickBot="1" x14ac:dyDescent="0.25">
      <c r="B10" s="63" t="s">
        <v>12</v>
      </c>
      <c r="C10" s="64">
        <f>Data!G13</f>
        <v>0</v>
      </c>
      <c r="D10" s="64">
        <f>(CalculateAverages!H10*CalculateAverages!D70)-Data!G30</f>
        <v>752142342.29876554</v>
      </c>
      <c r="E10" s="75">
        <f t="shared" si="0"/>
        <v>752142342.29876554</v>
      </c>
      <c r="F10" s="2"/>
    </row>
    <row r="11" spans="2:6" ht="13.5" thickBot="1" x14ac:dyDescent="0.25">
      <c r="B11" s="63" t="s">
        <v>13</v>
      </c>
      <c r="C11" s="64">
        <f>Data!G14</f>
        <v>0</v>
      </c>
      <c r="D11" s="64">
        <f>(CalculateAverages!H11*CalculateAverages!D71)-Data!G31</f>
        <v>749636202.14400005</v>
      </c>
      <c r="E11" s="75">
        <f t="shared" si="0"/>
        <v>749636202.14400005</v>
      </c>
      <c r="F11" s="2"/>
    </row>
    <row r="12" spans="2:6" ht="13.5" thickBot="1" x14ac:dyDescent="0.25">
      <c r="B12" s="63" t="s">
        <v>14</v>
      </c>
      <c r="C12" s="64">
        <f>Data!G15</f>
        <v>0</v>
      </c>
      <c r="D12" s="64">
        <f>(CalculateAverages!H12*CalculateAverages!D72)-Data!G32</f>
        <v>779261931.31944442</v>
      </c>
      <c r="E12" s="75">
        <f t="shared" si="0"/>
        <v>779261931.31944442</v>
      </c>
      <c r="F12" s="49"/>
    </row>
    <row r="13" spans="2:6" ht="13.5" thickBot="1" x14ac:dyDescent="0.25">
      <c r="B13" s="63" t="s">
        <v>15</v>
      </c>
      <c r="C13" s="64">
        <f>Data!G16</f>
        <v>0</v>
      </c>
      <c r="D13" s="64">
        <f>(CalculateAverages!H13*CalculateAverages!D73)-Data!G33</f>
        <v>722756989.41666663</v>
      </c>
      <c r="E13" s="75">
        <f t="shared" si="0"/>
        <v>722756989.41666663</v>
      </c>
      <c r="F13" s="49"/>
    </row>
    <row r="14" spans="2:6" ht="13.5" thickBot="1" x14ac:dyDescent="0.25">
      <c r="B14" s="63" t="s">
        <v>16</v>
      </c>
      <c r="C14" s="64">
        <f>Data!G17</f>
        <v>0</v>
      </c>
      <c r="D14" s="64">
        <f>(CalculateAverages!H14*CalculateAverages!D74)-Data!G34</f>
        <v>667639754.68000007</v>
      </c>
      <c r="E14" s="75">
        <f t="shared" si="0"/>
        <v>667639754.68000007</v>
      </c>
      <c r="F14" s="49"/>
    </row>
    <row r="15" spans="2:6" x14ac:dyDescent="0.2">
      <c r="B15" s="63" t="s">
        <v>17</v>
      </c>
      <c r="C15" s="64">
        <f>Data!G18</f>
        <v>0</v>
      </c>
      <c r="D15" s="64">
        <f>(CalculateAverages!H15*CalculateAverages!D75)-Data!G35</f>
        <v>775306364.23076928</v>
      </c>
      <c r="E15" s="75">
        <f t="shared" si="0"/>
        <v>775306364.23076928</v>
      </c>
      <c r="F15" s="49"/>
    </row>
    <row r="16" spans="2:6" x14ac:dyDescent="0.2">
      <c r="B16" s="63"/>
      <c r="C16" s="65"/>
      <c r="D16" s="72"/>
      <c r="E16" s="76"/>
      <c r="F16" s="49"/>
    </row>
    <row r="17" spans="2:5" ht="13.5" thickBot="1" x14ac:dyDescent="0.25">
      <c r="B17" s="66" t="s">
        <v>25</v>
      </c>
      <c r="C17" s="67"/>
      <c r="D17" s="78">
        <f>SUM(D4:D15)</f>
        <v>8739026439.8810501</v>
      </c>
      <c r="E17" s="68">
        <f>SUM(E4:E15)</f>
        <v>8739026439.8810501</v>
      </c>
    </row>
    <row r="22" spans="2:5" x14ac:dyDescent="0.2">
      <c r="E22" s="111"/>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77954-6738-4901-AD09-643EC315EC29}">
  <sheetPr>
    <tabColor rgb="FF7030A0"/>
  </sheetPr>
  <dimension ref="A1"/>
  <sheetViews>
    <sheetView showGridLines="0" workbookViewId="0"/>
  </sheetViews>
  <sheetFormatPr defaultRowHeight="12.75" x14ac:dyDescent="0.2"/>
  <sheetData>
    <row r="1" spans="1:1" ht="23.25" x14ac:dyDescent="0.35">
      <c r="A1" s="121" t="s">
        <v>138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I82"/>
  <sheetViews>
    <sheetView zoomScale="70" zoomScaleNormal="70" workbookViewId="0">
      <selection activeCell="H49" sqref="H49"/>
    </sheetView>
  </sheetViews>
  <sheetFormatPr defaultRowHeight="12.75" x14ac:dyDescent="0.2"/>
  <cols>
    <col min="2" max="2" width="11.7109375" customWidth="1"/>
    <col min="3" max="4" width="14.5703125" customWidth="1"/>
    <col min="5" max="5" width="33.5703125" customWidth="1"/>
    <col min="7" max="7" width="14.28515625" bestFit="1" customWidth="1"/>
    <col min="8" max="8" width="60.28515625" customWidth="1"/>
    <col min="9" max="9" width="15" bestFit="1" customWidth="1"/>
    <col min="10" max="10" width="20.5703125" bestFit="1" customWidth="1"/>
    <col min="12" max="12" width="14.28515625" bestFit="1" customWidth="1"/>
    <col min="13" max="13" width="15.7109375" bestFit="1" customWidth="1"/>
  </cols>
  <sheetData>
    <row r="1" spans="1:9" ht="15.75" x14ac:dyDescent="0.25">
      <c r="A1" s="1" t="s">
        <v>26</v>
      </c>
    </row>
    <row r="2" spans="1:9" ht="13.5" thickBot="1" x14ac:dyDescent="0.25"/>
    <row r="3" spans="1:9" x14ac:dyDescent="0.2">
      <c r="A3" t="s">
        <v>27</v>
      </c>
      <c r="B3" t="s">
        <v>28</v>
      </c>
      <c r="C3" t="s">
        <v>29</v>
      </c>
      <c r="D3" t="s">
        <v>30</v>
      </c>
      <c r="E3" s="33" t="s">
        <v>31</v>
      </c>
      <c r="G3" s="79"/>
      <c r="H3" s="84" t="s">
        <v>32</v>
      </c>
    </row>
    <row r="4" spans="1:9" x14ac:dyDescent="0.2">
      <c r="A4" t="str">
        <f>Data!B6</f>
        <v>2017/18</v>
      </c>
      <c r="B4" t="s">
        <v>6</v>
      </c>
      <c r="C4" s="7">
        <f>Data!B7+Data!B24</f>
        <v>659026430</v>
      </c>
      <c r="D4">
        <f>INDEX(DispensingDays,MATCH(B4,DDMonth,0),MATCH($A$4,DDYear,0))</f>
        <v>23</v>
      </c>
      <c r="E4" s="48">
        <f>C4/D4</f>
        <v>28653323.043478262</v>
      </c>
      <c r="G4" s="80" t="s">
        <v>6</v>
      </c>
      <c r="H4" s="81">
        <f>AVERAGEIF(B4:B63,G4,E4:E63)</f>
        <v>29433389.711473428</v>
      </c>
      <c r="I4" s="2"/>
    </row>
    <row r="5" spans="1:9" x14ac:dyDescent="0.2">
      <c r="B5" t="s">
        <v>7</v>
      </c>
      <c r="C5" s="7">
        <f>Data!B8+Data!B25</f>
        <v>728022087</v>
      </c>
      <c r="D5">
        <f t="shared" ref="D5:D15" si="0">INDEX(DispensingDays,MATCH(B5,DDMonth,0),MATCH($A$4,DDYear,0))</f>
        <v>25</v>
      </c>
      <c r="E5" s="48">
        <f t="shared" ref="E5:E68" si="1">C5/D5</f>
        <v>29120883.48</v>
      </c>
      <c r="G5" s="80" t="s">
        <v>7</v>
      </c>
      <c r="H5" s="81">
        <f t="shared" ref="H5:H15" si="2">AVERAGEIF(B5:B64,G5,E5:E64)</f>
        <v>29087616.751444448</v>
      </c>
      <c r="I5" s="2"/>
    </row>
    <row r="6" spans="1:9" x14ac:dyDescent="0.2">
      <c r="B6" t="s">
        <v>8</v>
      </c>
      <c r="C6" s="7">
        <f>Data!B9+Data!B26</f>
        <v>755534132</v>
      </c>
      <c r="D6">
        <f t="shared" si="0"/>
        <v>26</v>
      </c>
      <c r="E6" s="48">
        <f t="shared" si="1"/>
        <v>29059005.076923076</v>
      </c>
      <c r="G6" s="80" t="s">
        <v>8</v>
      </c>
      <c r="H6" s="81">
        <f t="shared" si="2"/>
        <v>28134868.689948719</v>
      </c>
      <c r="I6" s="2"/>
    </row>
    <row r="7" spans="1:9" x14ac:dyDescent="0.2">
      <c r="B7" t="s">
        <v>9</v>
      </c>
      <c r="C7" s="7">
        <f>Data!B10+Data!B27</f>
        <v>735081566</v>
      </c>
      <c r="D7">
        <f t="shared" si="0"/>
        <v>26</v>
      </c>
      <c r="E7" s="48">
        <f t="shared" si="1"/>
        <v>28272367.923076924</v>
      </c>
      <c r="G7" s="80" t="s">
        <v>9</v>
      </c>
      <c r="H7" s="81">
        <f t="shared" si="2"/>
        <v>27435245.716429252</v>
      </c>
      <c r="I7" s="2"/>
    </row>
    <row r="8" spans="1:9" x14ac:dyDescent="0.2">
      <c r="B8" t="s">
        <v>10</v>
      </c>
      <c r="C8" s="7">
        <f>Data!B11+Data!B28</f>
        <v>732336042</v>
      </c>
      <c r="D8">
        <f t="shared" si="0"/>
        <v>26</v>
      </c>
      <c r="E8" s="48">
        <f t="shared" si="1"/>
        <v>28166770.846153848</v>
      </c>
      <c r="G8" s="80" t="s">
        <v>10</v>
      </c>
      <c r="H8" s="81">
        <f t="shared" si="2"/>
        <v>27858091.904820513</v>
      </c>
      <c r="I8" s="2"/>
    </row>
    <row r="9" spans="1:9" x14ac:dyDescent="0.2">
      <c r="B9" t="s">
        <v>11</v>
      </c>
      <c r="C9" s="7">
        <f>Data!B12+Data!B29</f>
        <v>745087701</v>
      </c>
      <c r="D9">
        <f t="shared" si="0"/>
        <v>26</v>
      </c>
      <c r="E9" s="48">
        <f t="shared" si="1"/>
        <v>28657219.269230768</v>
      </c>
      <c r="G9" s="80" t="s">
        <v>11</v>
      </c>
      <c r="H9" s="81">
        <f t="shared" si="2"/>
        <v>28685671.43148718</v>
      </c>
      <c r="I9" s="2"/>
    </row>
    <row r="10" spans="1:9" x14ac:dyDescent="0.2">
      <c r="B10" t="s">
        <v>12</v>
      </c>
      <c r="C10" s="7">
        <f>Data!B13+Data!B30</f>
        <v>774279687</v>
      </c>
      <c r="D10">
        <f t="shared" si="0"/>
        <v>26</v>
      </c>
      <c r="E10" s="48">
        <f t="shared" si="1"/>
        <v>29779987.96153846</v>
      </c>
      <c r="G10" s="80" t="s">
        <v>12</v>
      </c>
      <c r="H10" s="81">
        <f t="shared" si="2"/>
        <v>28928551.626875598</v>
      </c>
      <c r="I10" s="2"/>
    </row>
    <row r="11" spans="1:9" x14ac:dyDescent="0.2">
      <c r="B11" t="s">
        <v>13</v>
      </c>
      <c r="C11" s="7">
        <f>Data!B14+Data!B31</f>
        <v>750487698</v>
      </c>
      <c r="D11">
        <f t="shared" si="0"/>
        <v>26</v>
      </c>
      <c r="E11" s="48">
        <f t="shared" si="1"/>
        <v>28864911.46153846</v>
      </c>
      <c r="G11" s="80" t="s">
        <v>13</v>
      </c>
      <c r="H11" s="81">
        <f t="shared" si="2"/>
        <v>28832161.62092308</v>
      </c>
      <c r="I11" s="2"/>
    </row>
    <row r="12" spans="1:9" x14ac:dyDescent="0.2">
      <c r="B12" t="s">
        <v>14</v>
      </c>
      <c r="C12" s="7">
        <f>Data!B15+Data!B32</f>
        <v>724913856</v>
      </c>
      <c r="D12">
        <f t="shared" si="0"/>
        <v>24</v>
      </c>
      <c r="E12" s="48">
        <f t="shared" si="1"/>
        <v>30204744</v>
      </c>
      <c r="G12" s="80" t="s">
        <v>14</v>
      </c>
      <c r="H12" s="81">
        <f t="shared" si="2"/>
        <v>31170477.252777778</v>
      </c>
      <c r="I12" s="2"/>
    </row>
    <row r="13" spans="1:9" x14ac:dyDescent="0.2">
      <c r="B13" t="s">
        <v>15</v>
      </c>
      <c r="C13" s="7">
        <f>Data!B16+Data!B33</f>
        <v>729768131</v>
      </c>
      <c r="D13">
        <f t="shared" si="0"/>
        <v>26</v>
      </c>
      <c r="E13" s="48">
        <f t="shared" si="1"/>
        <v>28068005.03846154</v>
      </c>
      <c r="G13" s="80" t="s">
        <v>15</v>
      </c>
      <c r="H13" s="81">
        <f t="shared" si="2"/>
        <v>28910279.576666664</v>
      </c>
      <c r="I13" s="2"/>
    </row>
    <row r="14" spans="1:9" x14ac:dyDescent="0.2">
      <c r="B14" t="s">
        <v>16</v>
      </c>
      <c r="C14" s="7">
        <f>Data!B17+Data!B34</f>
        <v>653633966</v>
      </c>
      <c r="D14">
        <f t="shared" si="0"/>
        <v>24</v>
      </c>
      <c r="E14" s="48">
        <f t="shared" si="1"/>
        <v>27234748.583333332</v>
      </c>
      <c r="G14" s="80" t="s">
        <v>16</v>
      </c>
      <c r="H14" s="81">
        <f t="shared" si="2"/>
        <v>27818323.111666668</v>
      </c>
      <c r="I14" s="2"/>
    </row>
    <row r="15" spans="1:9" ht="13.5" thickBot="1" x14ac:dyDescent="0.25">
      <c r="B15" t="s">
        <v>17</v>
      </c>
      <c r="C15" s="7">
        <f>Data!B18+Data!B35</f>
        <v>711930644</v>
      </c>
      <c r="D15">
        <f t="shared" si="0"/>
        <v>26</v>
      </c>
      <c r="E15" s="48">
        <f t="shared" si="1"/>
        <v>27381947.846153848</v>
      </c>
      <c r="G15" s="82" t="s">
        <v>17</v>
      </c>
      <c r="H15" s="83">
        <f t="shared" si="2"/>
        <v>28715050.527065527</v>
      </c>
      <c r="I15" s="2"/>
    </row>
    <row r="16" spans="1:9" x14ac:dyDescent="0.2">
      <c r="A16" t="str">
        <f>Data!C6</f>
        <v>2018/19</v>
      </c>
      <c r="B16" t="s">
        <v>6</v>
      </c>
      <c r="C16" s="7">
        <f>Data!C7+Data!C24</f>
        <v>685729503</v>
      </c>
      <c r="D16">
        <f t="shared" ref="D16:D27" si="3">INDEX(DispensingDays,MATCH(B16,DDMonth,0),MATCH($A$16,DDYear,0))</f>
        <v>24</v>
      </c>
      <c r="E16" s="48">
        <f t="shared" si="1"/>
        <v>28572062.625</v>
      </c>
    </row>
    <row r="17" spans="1:5" x14ac:dyDescent="0.2">
      <c r="B17" t="s">
        <v>7</v>
      </c>
      <c r="C17" s="7">
        <f>Data!C8+Data!C25</f>
        <v>718106275</v>
      </c>
      <c r="D17">
        <f t="shared" si="3"/>
        <v>25</v>
      </c>
      <c r="E17" s="48">
        <f t="shared" si="1"/>
        <v>28724251</v>
      </c>
    </row>
    <row r="18" spans="1:5" x14ac:dyDescent="0.2">
      <c r="B18" t="s">
        <v>8</v>
      </c>
      <c r="C18" s="7">
        <f>Data!C9+Data!C26</f>
        <v>709185784</v>
      </c>
      <c r="D18">
        <f t="shared" si="3"/>
        <v>26</v>
      </c>
      <c r="E18" s="48">
        <f t="shared" si="1"/>
        <v>27276376.307692308</v>
      </c>
    </row>
    <row r="19" spans="1:5" x14ac:dyDescent="0.2">
      <c r="B19" t="s">
        <v>9</v>
      </c>
      <c r="C19" s="7">
        <f>Data!C10+Data!C27</f>
        <v>702278394</v>
      </c>
      <c r="D19">
        <f t="shared" si="3"/>
        <v>26</v>
      </c>
      <c r="E19" s="48">
        <f t="shared" si="1"/>
        <v>27010707.46153846</v>
      </c>
    </row>
    <row r="20" spans="1:5" x14ac:dyDescent="0.2">
      <c r="B20" t="s">
        <v>10</v>
      </c>
      <c r="C20" s="7">
        <f>Data!C11+Data!C28</f>
        <v>707588999</v>
      </c>
      <c r="D20">
        <f t="shared" si="3"/>
        <v>26</v>
      </c>
      <c r="E20" s="48">
        <f t="shared" si="1"/>
        <v>27214961.5</v>
      </c>
    </row>
    <row r="21" spans="1:5" x14ac:dyDescent="0.2">
      <c r="B21" t="s">
        <v>11</v>
      </c>
      <c r="C21" s="7">
        <f>Data!C12+Data!C29</f>
        <v>682658645</v>
      </c>
      <c r="D21">
        <f t="shared" si="3"/>
        <v>25</v>
      </c>
      <c r="E21" s="48">
        <f t="shared" si="1"/>
        <v>27306345.800000001</v>
      </c>
    </row>
    <row r="22" spans="1:5" x14ac:dyDescent="0.2">
      <c r="B22" t="s">
        <v>12</v>
      </c>
      <c r="C22" s="7">
        <f>Data!C13+Data!C30</f>
        <v>747034583</v>
      </c>
      <c r="D22">
        <f t="shared" si="3"/>
        <v>27</v>
      </c>
      <c r="E22" s="48">
        <f t="shared" si="1"/>
        <v>27667947.518518519</v>
      </c>
    </row>
    <row r="23" spans="1:5" x14ac:dyDescent="0.2">
      <c r="B23" t="s">
        <v>13</v>
      </c>
      <c r="C23" s="7">
        <f>Data!C14+Data!C31</f>
        <v>731110101</v>
      </c>
      <c r="D23">
        <f t="shared" si="3"/>
        <v>26</v>
      </c>
      <c r="E23" s="48">
        <f t="shared" si="1"/>
        <v>28119619.269230768</v>
      </c>
    </row>
    <row r="24" spans="1:5" x14ac:dyDescent="0.2">
      <c r="B24" t="s">
        <v>14</v>
      </c>
      <c r="C24" s="7">
        <f>Data!C15+Data!C32</f>
        <v>707658487</v>
      </c>
      <c r="D24">
        <f t="shared" si="3"/>
        <v>24</v>
      </c>
      <c r="E24" s="48">
        <f t="shared" si="1"/>
        <v>29485770.291666668</v>
      </c>
    </row>
    <row r="25" spans="1:5" x14ac:dyDescent="0.2">
      <c r="B25" t="s">
        <v>15</v>
      </c>
      <c r="C25" s="7">
        <f>Data!C16+Data!C33</f>
        <v>725881110</v>
      </c>
      <c r="D25">
        <f t="shared" si="3"/>
        <v>26</v>
      </c>
      <c r="E25" s="48">
        <f t="shared" si="1"/>
        <v>27918504.230769232</v>
      </c>
    </row>
    <row r="26" spans="1:5" x14ac:dyDescent="0.2">
      <c r="B26" t="s">
        <v>16</v>
      </c>
      <c r="C26" s="7">
        <f>Data!C17+Data!C34</f>
        <v>653765638</v>
      </c>
      <c r="D26">
        <f t="shared" si="3"/>
        <v>24</v>
      </c>
      <c r="E26" s="48">
        <f t="shared" si="1"/>
        <v>27240234.916666668</v>
      </c>
    </row>
    <row r="27" spans="1:5" x14ac:dyDescent="0.2">
      <c r="B27" t="s">
        <v>17</v>
      </c>
      <c r="C27" s="7">
        <f>Data!C18+Data!C35</f>
        <v>709818416</v>
      </c>
      <c r="D27">
        <f t="shared" si="3"/>
        <v>26</v>
      </c>
      <c r="E27" s="48">
        <f t="shared" si="1"/>
        <v>27300708.307692308</v>
      </c>
    </row>
    <row r="28" spans="1:5" x14ac:dyDescent="0.2">
      <c r="A28" t="str">
        <f>Data!D6</f>
        <v>2019/20</v>
      </c>
      <c r="B28" t="s">
        <v>6</v>
      </c>
      <c r="C28" s="7">
        <f>Data!D7+Data!D24</f>
        <v>680213794</v>
      </c>
      <c r="D28">
        <f t="shared" ref="D28:D39" si="4">INDEX(DispensingDays,MATCH(B28,DDMonth,0),MATCH($A$28,DDYear,0))</f>
        <v>24</v>
      </c>
      <c r="E28" s="48">
        <f t="shared" si="1"/>
        <v>28342241.416666668</v>
      </c>
    </row>
    <row r="29" spans="1:5" x14ac:dyDescent="0.2">
      <c r="B29" t="s">
        <v>7</v>
      </c>
      <c r="C29" s="7">
        <f>Data!D8+Data!D25</f>
        <v>728382742</v>
      </c>
      <c r="D29">
        <f t="shared" si="4"/>
        <v>25</v>
      </c>
      <c r="E29" s="48">
        <f t="shared" si="1"/>
        <v>29135309.68</v>
      </c>
    </row>
    <row r="30" spans="1:5" x14ac:dyDescent="0.2">
      <c r="B30" t="s">
        <v>8</v>
      </c>
      <c r="C30" s="7">
        <f>Data!D9+Data!D26</f>
        <v>687230034</v>
      </c>
      <c r="D30">
        <f t="shared" si="4"/>
        <v>25</v>
      </c>
      <c r="E30" s="48">
        <f t="shared" si="1"/>
        <v>27489201.359999999</v>
      </c>
    </row>
    <row r="31" spans="1:5" x14ac:dyDescent="0.2">
      <c r="B31" t="s">
        <v>9</v>
      </c>
      <c r="C31" s="7">
        <f>Data!D10+Data!D27</f>
        <v>711977909</v>
      </c>
      <c r="D31">
        <f t="shared" si="4"/>
        <v>27</v>
      </c>
      <c r="E31" s="48">
        <f t="shared" si="1"/>
        <v>26369552.185185187</v>
      </c>
    </row>
    <row r="32" spans="1:5" x14ac:dyDescent="0.2">
      <c r="B32" t="s">
        <v>10</v>
      </c>
      <c r="C32" s="7">
        <f>Data!D11+Data!D28</f>
        <v>736721905</v>
      </c>
      <c r="D32">
        <f t="shared" si="4"/>
        <v>26</v>
      </c>
      <c r="E32" s="48">
        <f t="shared" si="1"/>
        <v>28335457.884615384</v>
      </c>
    </row>
    <row r="33" spans="1:5" x14ac:dyDescent="0.2">
      <c r="B33" t="s">
        <v>11</v>
      </c>
      <c r="C33" s="7">
        <f>Data!D12+Data!D29</f>
        <v>714403974</v>
      </c>
      <c r="D33">
        <f t="shared" si="4"/>
        <v>25</v>
      </c>
      <c r="E33" s="48">
        <f t="shared" si="1"/>
        <v>28576158.960000001</v>
      </c>
    </row>
    <row r="34" spans="1:5" x14ac:dyDescent="0.2">
      <c r="B34" t="s">
        <v>12</v>
      </c>
      <c r="C34" s="7">
        <f>Data!D13+Data!D30</f>
        <v>771243131</v>
      </c>
      <c r="D34">
        <f t="shared" si="4"/>
        <v>27</v>
      </c>
      <c r="E34" s="48">
        <f t="shared" si="1"/>
        <v>28564560.407407407</v>
      </c>
    </row>
    <row r="35" spans="1:5" x14ac:dyDescent="0.2">
      <c r="B35" t="s">
        <v>13</v>
      </c>
      <c r="C35" s="7">
        <f>Data!D14+Data!D31</f>
        <v>720834774</v>
      </c>
      <c r="D35">
        <f t="shared" si="4"/>
        <v>26</v>
      </c>
      <c r="E35" s="48">
        <f t="shared" si="1"/>
        <v>27724414.384615384</v>
      </c>
    </row>
    <row r="36" spans="1:5" x14ac:dyDescent="0.2">
      <c r="B36" t="s">
        <v>14</v>
      </c>
      <c r="C36" s="7">
        <f>Data!D15+Data!D32</f>
        <v>723634731</v>
      </c>
      <c r="D36">
        <f t="shared" si="4"/>
        <v>24</v>
      </c>
      <c r="E36" s="48">
        <f t="shared" si="1"/>
        <v>30151447.125</v>
      </c>
    </row>
    <row r="37" spans="1:5" x14ac:dyDescent="0.2">
      <c r="B37" t="s">
        <v>15</v>
      </c>
      <c r="C37" s="7">
        <f>Data!D16+Data!D33</f>
        <v>731739703</v>
      </c>
      <c r="D37">
        <f t="shared" si="4"/>
        <v>26</v>
      </c>
      <c r="E37" s="48">
        <f t="shared" si="1"/>
        <v>28143834.730769232</v>
      </c>
    </row>
    <row r="38" spans="1:5" x14ac:dyDescent="0.2">
      <c r="B38" t="s">
        <v>16</v>
      </c>
      <c r="C38" s="7">
        <f>Data!D17+Data!D34</f>
        <v>670182815</v>
      </c>
      <c r="D38">
        <f t="shared" si="4"/>
        <v>25</v>
      </c>
      <c r="E38" s="48">
        <f t="shared" si="1"/>
        <v>26807312.600000001</v>
      </c>
    </row>
    <row r="39" spans="1:5" x14ac:dyDescent="0.2">
      <c r="B39" t="s">
        <v>17</v>
      </c>
      <c r="C39" s="7">
        <f>Data!D18+Data!D35</f>
        <v>803291658</v>
      </c>
      <c r="D39">
        <f t="shared" si="4"/>
        <v>26</v>
      </c>
      <c r="E39" s="48">
        <f t="shared" si="1"/>
        <v>30895833</v>
      </c>
    </row>
    <row r="40" spans="1:5" x14ac:dyDescent="0.2">
      <c r="A40" t="str">
        <f>Data!E6</f>
        <v>2020/21</v>
      </c>
      <c r="B40" t="s">
        <v>6</v>
      </c>
      <c r="C40" s="7">
        <f>Data!E7+Data!E24</f>
        <v>746019498</v>
      </c>
      <c r="D40">
        <f t="shared" ref="D40:D51" si="5">INDEX(DispensingDays,MATCH(B40,DDMonth,0),MATCH($A$40,DDYear,0))</f>
        <v>24</v>
      </c>
      <c r="E40" s="48">
        <f t="shared" si="1"/>
        <v>31084145.75</v>
      </c>
    </row>
    <row r="41" spans="1:5" x14ac:dyDescent="0.2">
      <c r="B41" t="s">
        <v>7</v>
      </c>
      <c r="C41" s="7">
        <f>Data!E8+Data!E25</f>
        <v>700525672</v>
      </c>
      <c r="D41">
        <f t="shared" si="5"/>
        <v>24</v>
      </c>
      <c r="E41" s="48">
        <f t="shared" si="1"/>
        <v>29188569.666666668</v>
      </c>
    </row>
    <row r="42" spans="1:5" x14ac:dyDescent="0.2">
      <c r="B42" t="s">
        <v>8</v>
      </c>
      <c r="C42" s="7">
        <f>Data!E9+Data!E26</f>
        <v>720897914</v>
      </c>
      <c r="D42">
        <f t="shared" si="5"/>
        <v>26</v>
      </c>
      <c r="E42" s="48">
        <f t="shared" si="1"/>
        <v>27726842.846153848</v>
      </c>
    </row>
    <row r="43" spans="1:5" x14ac:dyDescent="0.2">
      <c r="B43" t="s">
        <v>9</v>
      </c>
      <c r="C43" s="7">
        <f>Data!E10+Data!E27</f>
        <v>745296870</v>
      </c>
      <c r="D43">
        <f t="shared" si="5"/>
        <v>27</v>
      </c>
      <c r="E43" s="48">
        <f t="shared" si="1"/>
        <v>27603587.777777776</v>
      </c>
    </row>
    <row r="44" spans="1:5" x14ac:dyDescent="0.2">
      <c r="B44" t="s">
        <v>10</v>
      </c>
      <c r="C44" s="7">
        <f>Data!E11+Data!E28</f>
        <v>673867632</v>
      </c>
      <c r="D44">
        <f t="shared" si="5"/>
        <v>25</v>
      </c>
      <c r="E44" s="48">
        <f t="shared" si="1"/>
        <v>26954705.280000001</v>
      </c>
    </row>
    <row r="45" spans="1:5" x14ac:dyDescent="0.2">
      <c r="B45" t="s">
        <v>11</v>
      </c>
      <c r="C45" s="7">
        <f>Data!E12+Data!E29</f>
        <v>756906815</v>
      </c>
      <c r="D45">
        <f t="shared" si="5"/>
        <v>26</v>
      </c>
      <c r="E45" s="48">
        <f t="shared" si="1"/>
        <v>29111800.576923076</v>
      </c>
    </row>
    <row r="46" spans="1:5" x14ac:dyDescent="0.2">
      <c r="B46" t="s">
        <v>12</v>
      </c>
      <c r="C46" s="7">
        <f>Data!E13+Data!E30</f>
        <v>788844660.66666663</v>
      </c>
      <c r="D46">
        <f t="shared" si="5"/>
        <v>27</v>
      </c>
      <c r="E46" s="48">
        <f t="shared" si="1"/>
        <v>29216468.913580246</v>
      </c>
    </row>
    <row r="47" spans="1:5" x14ac:dyDescent="0.2">
      <c r="B47" t="s">
        <v>13</v>
      </c>
      <c r="C47" s="7">
        <f>Data!E14+Data!E31</f>
        <v>738104484.66666663</v>
      </c>
      <c r="D47">
        <f t="shared" si="5"/>
        <v>25</v>
      </c>
      <c r="E47" s="48">
        <f t="shared" si="1"/>
        <v>29524179.386666667</v>
      </c>
    </row>
    <row r="48" spans="1:5" x14ac:dyDescent="0.2">
      <c r="B48" t="s">
        <v>14</v>
      </c>
      <c r="C48" s="7">
        <f>Data!E15+Data!E32</f>
        <v>778653051.66666663</v>
      </c>
      <c r="D48">
        <f t="shared" si="5"/>
        <v>24</v>
      </c>
      <c r="E48" s="48">
        <f t="shared" si="1"/>
        <v>32443877.152777776</v>
      </c>
    </row>
    <row r="49" spans="1:5" x14ac:dyDescent="0.2">
      <c r="B49" t="s">
        <v>15</v>
      </c>
      <c r="C49" s="7">
        <f>Data!E16+Data!E33</f>
        <v>725326495</v>
      </c>
      <c r="D49">
        <f t="shared" si="5"/>
        <v>25</v>
      </c>
      <c r="E49" s="48">
        <f t="shared" si="1"/>
        <v>29013059.800000001</v>
      </c>
    </row>
    <row r="50" spans="1:5" x14ac:dyDescent="0.2">
      <c r="B50" t="s">
        <v>16</v>
      </c>
      <c r="C50" s="7">
        <f>Data!E17+Data!E34</f>
        <v>678080296</v>
      </c>
      <c r="D50">
        <f t="shared" si="5"/>
        <v>24</v>
      </c>
      <c r="E50" s="48">
        <f t="shared" si="1"/>
        <v>28253345.666666668</v>
      </c>
    </row>
    <row r="51" spans="1:5" x14ac:dyDescent="0.2">
      <c r="B51" t="s">
        <v>17</v>
      </c>
      <c r="C51" s="7">
        <f>Data!E18+Data!E35</f>
        <v>760004285</v>
      </c>
      <c r="D51">
        <f t="shared" si="5"/>
        <v>27</v>
      </c>
      <c r="E51" s="48">
        <f t="shared" si="1"/>
        <v>28148306.851851851</v>
      </c>
    </row>
    <row r="52" spans="1:5" x14ac:dyDescent="0.2">
      <c r="A52" t="str">
        <f>Data!F6</f>
        <v>2021/22</v>
      </c>
      <c r="B52" t="s">
        <v>6</v>
      </c>
      <c r="C52" s="7">
        <f>Data!F7+Data!F24</f>
        <v>732364217.33333337</v>
      </c>
      <c r="D52">
        <f t="shared" ref="D52:D63" si="6">INDEX(DispensingDays,MATCH(B52,DDMonth,0),MATCH($A$52,DDYear,0))</f>
        <v>24</v>
      </c>
      <c r="E52" s="48">
        <f t="shared" si="1"/>
        <v>30515175.722222224</v>
      </c>
    </row>
    <row r="53" spans="1:5" x14ac:dyDescent="0.2">
      <c r="B53" t="s">
        <v>7</v>
      </c>
      <c r="C53" s="7">
        <f>Data!F8+Data!F25</f>
        <v>702457678.33333337</v>
      </c>
      <c r="D53">
        <f t="shared" si="6"/>
        <v>24</v>
      </c>
      <c r="E53" s="48">
        <f t="shared" si="1"/>
        <v>29269069.930555556</v>
      </c>
    </row>
    <row r="54" spans="1:5" x14ac:dyDescent="0.2">
      <c r="B54" t="s">
        <v>8</v>
      </c>
      <c r="C54" s="7">
        <f>Data!F9+Data!F26</f>
        <v>757195864.33333337</v>
      </c>
      <c r="D54">
        <f t="shared" si="6"/>
        <v>26</v>
      </c>
      <c r="E54" s="48">
        <f t="shared" si="1"/>
        <v>29122917.85897436</v>
      </c>
    </row>
    <row r="55" spans="1:5" x14ac:dyDescent="0.2">
      <c r="B55" t="s">
        <v>9</v>
      </c>
      <c r="C55" s="7">
        <f>Data!F10+Data!F27</f>
        <v>753840357.33333337</v>
      </c>
      <c r="D55">
        <f t="shared" si="6"/>
        <v>27</v>
      </c>
      <c r="E55" s="48">
        <f t="shared" si="1"/>
        <v>27920013.234567903</v>
      </c>
    </row>
    <row r="56" spans="1:5" x14ac:dyDescent="0.2">
      <c r="B56" t="s">
        <v>10</v>
      </c>
      <c r="C56" s="7">
        <f>Data!F11+Data!F28</f>
        <v>715464100.33333337</v>
      </c>
      <c r="D56">
        <f t="shared" si="6"/>
        <v>25</v>
      </c>
      <c r="E56" s="48">
        <f t="shared" si="1"/>
        <v>28618564.013333336</v>
      </c>
    </row>
    <row r="57" spans="1:5" x14ac:dyDescent="0.2">
      <c r="B57" t="s">
        <v>11</v>
      </c>
      <c r="C57" s="7">
        <f>Data!F12+Data!F29</f>
        <v>774197646.33333337</v>
      </c>
      <c r="D57">
        <f t="shared" si="6"/>
        <v>26</v>
      </c>
      <c r="E57" s="48">
        <f t="shared" si="1"/>
        <v>29776832.551282052</v>
      </c>
    </row>
    <row r="58" spans="1:5" x14ac:dyDescent="0.2">
      <c r="B58" t="s">
        <v>12</v>
      </c>
      <c r="C58" s="7">
        <f>Data!F13+Data!F30</f>
        <v>764758626.66666675</v>
      </c>
      <c r="D58">
        <f t="shared" si="6"/>
        <v>26</v>
      </c>
      <c r="E58" s="48">
        <f t="shared" si="1"/>
        <v>29413793.333333336</v>
      </c>
    </row>
    <row r="59" spans="1:5" x14ac:dyDescent="0.2">
      <c r="B59" t="s">
        <v>13</v>
      </c>
      <c r="C59" s="7">
        <f>Data!F14+Data!F31</f>
        <v>778119773.66666675</v>
      </c>
      <c r="D59">
        <f t="shared" si="6"/>
        <v>26</v>
      </c>
      <c r="E59" s="48">
        <f t="shared" si="1"/>
        <v>29927683.602564104</v>
      </c>
    </row>
    <row r="60" spans="1:5" x14ac:dyDescent="0.2">
      <c r="B60" t="s">
        <v>14</v>
      </c>
      <c r="C60" s="7">
        <f>Data!F15+Data!F32</f>
        <v>805597144.66666675</v>
      </c>
      <c r="D60">
        <f t="shared" si="6"/>
        <v>24</v>
      </c>
      <c r="E60" s="48">
        <f t="shared" si="1"/>
        <v>33566547.694444448</v>
      </c>
    </row>
    <row r="61" spans="1:5" x14ac:dyDescent="0.2">
      <c r="B61" t="s">
        <v>15</v>
      </c>
      <c r="C61" s="7">
        <f>Data!F16+Data!F33</f>
        <v>753791858</v>
      </c>
      <c r="D61">
        <f t="shared" si="6"/>
        <v>24</v>
      </c>
      <c r="E61" s="48">
        <f t="shared" si="1"/>
        <v>31407994.083333332</v>
      </c>
    </row>
    <row r="62" spans="1:5" x14ac:dyDescent="0.2">
      <c r="B62" t="s">
        <v>16</v>
      </c>
      <c r="C62" s="7">
        <f>Data!F17+Data!F34</f>
        <v>709343371</v>
      </c>
      <c r="D62">
        <f t="shared" si="6"/>
        <v>24</v>
      </c>
      <c r="E62" s="48">
        <f t="shared" si="1"/>
        <v>29555973.791666668</v>
      </c>
    </row>
    <row r="63" spans="1:5" x14ac:dyDescent="0.2">
      <c r="B63" t="s">
        <v>17</v>
      </c>
      <c r="C63" s="7">
        <f>Data!F18+Data!F35</f>
        <v>805908329</v>
      </c>
      <c r="D63">
        <f t="shared" si="6"/>
        <v>27</v>
      </c>
      <c r="E63" s="48">
        <f t="shared" si="1"/>
        <v>29848456.629629631</v>
      </c>
    </row>
    <row r="64" spans="1:5" x14ac:dyDescent="0.2">
      <c r="A64" t="str">
        <f>Data!G6</f>
        <v>2022/23</v>
      </c>
      <c r="B64" t="s">
        <v>6</v>
      </c>
      <c r="C64" s="28">
        <f>IF(Data!G7&lt;&gt;0,Data!G7+Data!G24,0)</f>
        <v>0</v>
      </c>
      <c r="D64">
        <f>INDEX(DispensingDays,MATCH(B64,DDMonth,0),MATCH($A$64,DDYear,0))</f>
        <v>24</v>
      </c>
      <c r="E64" s="48">
        <f t="shared" si="1"/>
        <v>0</v>
      </c>
    </row>
    <row r="65" spans="2:5" x14ac:dyDescent="0.2">
      <c r="B65" t="s">
        <v>7</v>
      </c>
      <c r="C65" s="28">
        <f>IF(Data!G8&lt;&gt;0,Data!G8+Data!G25,0)</f>
        <v>0</v>
      </c>
      <c r="D65">
        <f t="shared" ref="D65:D75" si="7">INDEX(DispensingDays,MATCH(B65,DDMonth,0),MATCH($A$64,DDYear,0))</f>
        <v>25</v>
      </c>
      <c r="E65" s="48">
        <f t="shared" si="1"/>
        <v>0</v>
      </c>
    </row>
    <row r="66" spans="2:5" x14ac:dyDescent="0.2">
      <c r="B66" t="s">
        <v>8</v>
      </c>
      <c r="C66" s="28">
        <f>IF(Data!G9&lt;&gt;0,Data!G9+Data!G26,0)</f>
        <v>0</v>
      </c>
      <c r="D66">
        <f t="shared" si="7"/>
        <v>24</v>
      </c>
      <c r="E66" s="48">
        <f t="shared" si="1"/>
        <v>0</v>
      </c>
    </row>
    <row r="67" spans="2:5" x14ac:dyDescent="0.2">
      <c r="B67" t="s">
        <v>9</v>
      </c>
      <c r="C67" s="28">
        <f>IF(Data!G10&lt;&gt;0,Data!G10+Data!G27,0)</f>
        <v>0</v>
      </c>
      <c r="D67">
        <f t="shared" si="7"/>
        <v>26</v>
      </c>
      <c r="E67" s="48">
        <f t="shared" si="1"/>
        <v>0</v>
      </c>
    </row>
    <row r="68" spans="2:5" x14ac:dyDescent="0.2">
      <c r="B68" t="s">
        <v>10</v>
      </c>
      <c r="C68" s="28">
        <f>IF(Data!G11&lt;&gt;0,Data!G11+Data!G28,0)</f>
        <v>0</v>
      </c>
      <c r="D68">
        <f t="shared" si="7"/>
        <v>26</v>
      </c>
      <c r="E68" s="48">
        <f t="shared" si="1"/>
        <v>0</v>
      </c>
    </row>
    <row r="69" spans="2:5" x14ac:dyDescent="0.2">
      <c r="B69" t="s">
        <v>11</v>
      </c>
      <c r="C69" s="28">
        <f>IF(Data!G12&lt;&gt;0,Data!G12+Data!G29,0)</f>
        <v>0</v>
      </c>
      <c r="D69">
        <f t="shared" si="7"/>
        <v>26</v>
      </c>
      <c r="E69" s="48">
        <f t="shared" ref="E69:E74" si="8">C69/D69</f>
        <v>0</v>
      </c>
    </row>
    <row r="70" spans="2:5" x14ac:dyDescent="0.2">
      <c r="B70" t="s">
        <v>12</v>
      </c>
      <c r="C70" s="28">
        <f>IF(Data!G13&lt;&gt;0,Data!G13+Data!G30,0)</f>
        <v>0</v>
      </c>
      <c r="D70">
        <f t="shared" si="7"/>
        <v>26</v>
      </c>
      <c r="E70" s="48">
        <f t="shared" si="8"/>
        <v>0</v>
      </c>
    </row>
    <row r="71" spans="2:5" x14ac:dyDescent="0.2">
      <c r="B71" t="s">
        <v>13</v>
      </c>
      <c r="C71" s="28">
        <f>IF(Data!G14&lt;&gt;0,Data!G14+Data!G31,0)</f>
        <v>0</v>
      </c>
      <c r="D71">
        <f t="shared" si="7"/>
        <v>26</v>
      </c>
      <c r="E71" s="48">
        <f t="shared" si="8"/>
        <v>0</v>
      </c>
    </row>
    <row r="72" spans="2:5" x14ac:dyDescent="0.2">
      <c r="B72" t="s">
        <v>14</v>
      </c>
      <c r="C72" s="28">
        <f>IF(Data!G15&lt;&gt;0,Data!G15+Data!G32,0)</f>
        <v>0</v>
      </c>
      <c r="D72">
        <f t="shared" si="7"/>
        <v>25</v>
      </c>
      <c r="E72" s="48">
        <f t="shared" si="8"/>
        <v>0</v>
      </c>
    </row>
    <row r="73" spans="2:5" x14ac:dyDescent="0.2">
      <c r="B73" t="s">
        <v>15</v>
      </c>
      <c r="C73" s="28">
        <f>IF(Data!G16&lt;&gt;0,Data!G16+Data!G33,0)</f>
        <v>0</v>
      </c>
      <c r="D73">
        <f t="shared" si="7"/>
        <v>25</v>
      </c>
      <c r="E73" s="48">
        <f t="shared" si="8"/>
        <v>0</v>
      </c>
    </row>
    <row r="74" spans="2:5" x14ac:dyDescent="0.2">
      <c r="B74" t="s">
        <v>16</v>
      </c>
      <c r="C74" s="28">
        <f>IF(Data!G17&lt;&gt;0,Data!G17+Data!G34,0)</f>
        <v>0</v>
      </c>
      <c r="D74">
        <f t="shared" si="7"/>
        <v>24</v>
      </c>
      <c r="E74" s="48">
        <f t="shared" si="8"/>
        <v>0</v>
      </c>
    </row>
    <row r="75" spans="2:5" x14ac:dyDescent="0.2">
      <c r="B75" t="s">
        <v>17</v>
      </c>
      <c r="C75" s="28">
        <f>IF(Data!G18&lt;&gt;0,Data!G18+Data!G35,0)</f>
        <v>0</v>
      </c>
      <c r="D75">
        <f t="shared" si="7"/>
        <v>27</v>
      </c>
      <c r="E75" s="48">
        <f>C75/D75</f>
        <v>0</v>
      </c>
    </row>
    <row r="82" spans="2:2" x14ac:dyDescent="0.2">
      <c r="B82" s="11"/>
    </row>
  </sheetData>
  <phoneticPr fontId="3"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5BEE7-6CCC-476E-850C-FF4F01735B60}">
  <sheetPr>
    <tabColor rgb="FF7030A0"/>
  </sheetPr>
  <dimension ref="A1"/>
  <sheetViews>
    <sheetView showGridLines="0" workbookViewId="0">
      <selection activeCell="P17" sqref="P17"/>
    </sheetView>
  </sheetViews>
  <sheetFormatPr defaultRowHeight="12.75" x14ac:dyDescent="0.2"/>
  <sheetData>
    <row r="1" spans="1:1" ht="23.25" x14ac:dyDescent="0.35">
      <c r="A1" s="121" t="s">
        <v>139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O60"/>
  <sheetViews>
    <sheetView zoomScale="70" zoomScaleNormal="70" workbookViewId="0">
      <selection activeCell="I51" sqref="I51"/>
    </sheetView>
  </sheetViews>
  <sheetFormatPr defaultColWidth="9.28515625" defaultRowHeight="12.75" x14ac:dyDescent="0.2"/>
  <cols>
    <col min="1" max="1" width="13.7109375" style="4" customWidth="1"/>
    <col min="2" max="5" width="13.7109375" style="36" customWidth="1"/>
    <col min="6" max="6" width="16.7109375" style="36" bestFit="1" customWidth="1"/>
    <col min="7" max="7" width="13.7109375" style="36" customWidth="1"/>
    <col min="8" max="8" width="9.28515625" style="4"/>
    <col min="9" max="10" width="12.7109375" style="4" customWidth="1"/>
    <col min="11" max="11" width="19.85546875" style="4" customWidth="1"/>
    <col min="12" max="14" width="12.7109375" style="4" customWidth="1"/>
    <col min="15" max="16384" width="9.28515625" style="4"/>
  </cols>
  <sheetData>
    <row r="1" spans="1:15" ht="23.25" x14ac:dyDescent="0.35">
      <c r="A1" s="15" t="s">
        <v>33</v>
      </c>
    </row>
    <row r="3" spans="1:15" ht="15.75" x14ac:dyDescent="0.25">
      <c r="A3" s="3" t="s">
        <v>34</v>
      </c>
      <c r="D3" s="37" t="str">
        <f>IF(OR(H7&lt;&gt;"",H8&lt;&gt;"",H9&lt;&gt;"",H10&lt;&gt;"",H11&lt;&gt;"",H12&lt;&gt;"",H13&lt;&gt;"",H14&lt;&gt;"",H15&lt;&gt;"",H16&lt;&gt;"",H17&lt;&gt;"",H18&lt;&gt;"",H24&lt;&gt;"",H25&lt;&gt;"",H26&lt;&gt;"",H27&lt;&gt;"",H28&lt;&gt;"",H29&lt;&gt;"",H30&lt;&gt;"",H31&lt;&gt;"",H32&lt;&gt;"",H33&lt;&gt;"",H34&lt;&gt;"",H35&lt;&gt;""),"Data missing, forecast will not run","")</f>
        <v>Data missing, forecast will not run</v>
      </c>
      <c r="O3" s="9"/>
    </row>
    <row r="5" spans="1:15" x14ac:dyDescent="0.2">
      <c r="A5" s="6"/>
      <c r="B5" s="116" t="s">
        <v>35</v>
      </c>
      <c r="C5" s="117"/>
      <c r="D5" s="117"/>
      <c r="E5" s="117"/>
      <c r="F5" s="117"/>
      <c r="G5" s="118"/>
    </row>
    <row r="6" spans="1:15" x14ac:dyDescent="0.2">
      <c r="A6" s="30" t="s">
        <v>28</v>
      </c>
      <c r="B6" s="50" t="s">
        <v>37</v>
      </c>
      <c r="C6" s="50" t="s">
        <v>38</v>
      </c>
      <c r="D6" s="50" t="s">
        <v>39</v>
      </c>
      <c r="E6" s="50" t="s">
        <v>40</v>
      </c>
      <c r="F6" s="110" t="s">
        <v>41</v>
      </c>
      <c r="G6" s="110" t="s">
        <v>118</v>
      </c>
      <c r="J6" s="12"/>
    </row>
    <row r="7" spans="1:15" x14ac:dyDescent="0.2">
      <c r="A7" s="32" t="s">
        <v>6</v>
      </c>
      <c r="B7" s="51">
        <v>632026430</v>
      </c>
      <c r="C7" s="51">
        <v>643729503</v>
      </c>
      <c r="D7" s="51">
        <v>653213794</v>
      </c>
      <c r="E7" s="51">
        <v>734019498</v>
      </c>
      <c r="F7" s="70">
        <v>740130884</v>
      </c>
      <c r="G7" s="70"/>
      <c r="H7" s="10" t="str">
        <f>IF(OR(B7="",C7="",D7="",E7="",F7=""),"Data missing, please enter value in blank cell between B5 and F5","")</f>
        <v/>
      </c>
      <c r="I7" s="35"/>
      <c r="J7" s="35"/>
      <c r="O7" s="9"/>
    </row>
    <row r="8" spans="1:15" x14ac:dyDescent="0.2">
      <c r="A8" s="13" t="s">
        <v>7</v>
      </c>
      <c r="B8" s="53">
        <v>701022087</v>
      </c>
      <c r="C8" s="53">
        <v>676106275</v>
      </c>
      <c r="D8" s="53">
        <v>701382742</v>
      </c>
      <c r="E8" s="53">
        <v>688525672</v>
      </c>
      <c r="F8" s="71">
        <v>710224345</v>
      </c>
      <c r="G8" s="71"/>
      <c r="H8" s="10" t="str">
        <f>IF(OR(B8="",C8="",D8="",E8="",F8=""),"Data missing, please enter value in blank cell between B6 and F6","")</f>
        <v/>
      </c>
      <c r="I8" s="35"/>
      <c r="J8" s="35"/>
      <c r="O8" s="9"/>
    </row>
    <row r="9" spans="1:15" x14ac:dyDescent="0.2">
      <c r="A9" s="13" t="s">
        <v>8</v>
      </c>
      <c r="B9" s="53">
        <v>728534132</v>
      </c>
      <c r="C9" s="53">
        <v>667185784</v>
      </c>
      <c r="D9" s="53">
        <v>660230034</v>
      </c>
      <c r="E9" s="53">
        <v>723897914</v>
      </c>
      <c r="F9" s="71">
        <v>764962531</v>
      </c>
      <c r="G9" s="71"/>
      <c r="H9" s="10" t="str">
        <f>IF(OR(B9="",C9="",D9="",E9="",F9=""),"Data missing, please enter value in blank cell between B7 and F7","")</f>
        <v/>
      </c>
      <c r="I9" s="35"/>
      <c r="J9" s="35"/>
      <c r="O9" s="9"/>
    </row>
    <row r="10" spans="1:15" x14ac:dyDescent="0.2">
      <c r="A10" s="13" t="s">
        <v>9</v>
      </c>
      <c r="B10" s="53">
        <v>708081566</v>
      </c>
      <c r="C10" s="53">
        <v>660278394</v>
      </c>
      <c r="D10" s="53">
        <v>684977909</v>
      </c>
      <c r="E10" s="53">
        <v>748296870</v>
      </c>
      <c r="F10" s="71">
        <v>745307024</v>
      </c>
      <c r="G10" s="71"/>
      <c r="H10" s="10" t="str">
        <f>IF(OR(B10="",C10="",D10="",E10="",F10=""),"Data missing, please enter value in blank cell between B8 and F8","")</f>
        <v/>
      </c>
      <c r="I10" s="35"/>
      <c r="J10" s="35"/>
      <c r="O10" s="9"/>
    </row>
    <row r="11" spans="1:15" x14ac:dyDescent="0.2">
      <c r="A11" s="13" t="s">
        <v>10</v>
      </c>
      <c r="B11" s="53">
        <v>690336042</v>
      </c>
      <c r="C11" s="53">
        <v>680588999</v>
      </c>
      <c r="D11" s="53">
        <v>724721905</v>
      </c>
      <c r="E11" s="53">
        <v>676867632</v>
      </c>
      <c r="F11" s="71">
        <v>706930767</v>
      </c>
      <c r="G11" s="71"/>
      <c r="H11" s="10" t="str">
        <f>IF(OR(B11="",C11="",D11="",E11="",F11=""),"Data missing, please enter value in blank cell between B9 and F9","")</f>
        <v/>
      </c>
      <c r="I11" s="35"/>
      <c r="J11" s="35"/>
      <c r="O11" s="9"/>
    </row>
    <row r="12" spans="1:15" x14ac:dyDescent="0.2">
      <c r="A12" s="13" t="s">
        <v>11</v>
      </c>
      <c r="B12" s="53">
        <v>703087701</v>
      </c>
      <c r="C12" s="53">
        <v>655658645</v>
      </c>
      <c r="D12" s="53">
        <v>702403974</v>
      </c>
      <c r="E12" s="53">
        <v>759906815</v>
      </c>
      <c r="F12" s="71">
        <v>765664313</v>
      </c>
      <c r="G12" s="71"/>
      <c r="H12" s="10" t="str">
        <f>IF(OR(B12="",C12="",D12="",E12="",F12=""),"Data missing, please enter value in blank cell between B10 and F10","")</f>
        <v/>
      </c>
      <c r="I12" s="35"/>
      <c r="J12" s="35"/>
      <c r="O12" s="9"/>
    </row>
    <row r="13" spans="1:15" x14ac:dyDescent="0.2">
      <c r="A13" s="13" t="s">
        <v>12</v>
      </c>
      <c r="B13" s="53">
        <v>732279687</v>
      </c>
      <c r="C13" s="53">
        <v>720034583</v>
      </c>
      <c r="D13" s="53">
        <v>759243131</v>
      </c>
      <c r="E13" s="53">
        <v>784077994</v>
      </c>
      <c r="F13" s="71">
        <v>747291960</v>
      </c>
      <c r="G13" s="71"/>
      <c r="H13" s="10" t="str">
        <f>IF(OR(B13="",C13="",D13="",E13="",F13=""),"Data missing, please enter value in blank cell between B11 and F11","")</f>
        <v/>
      </c>
      <c r="I13" s="35"/>
      <c r="J13" s="35"/>
      <c r="O13" s="9"/>
    </row>
    <row r="14" spans="1:15" x14ac:dyDescent="0.2">
      <c r="A14" s="13" t="s">
        <v>13</v>
      </c>
      <c r="B14" s="53">
        <v>708487698</v>
      </c>
      <c r="C14" s="53">
        <v>694110101</v>
      </c>
      <c r="D14" s="53">
        <v>708834774</v>
      </c>
      <c r="E14" s="53">
        <v>733337818</v>
      </c>
      <c r="F14" s="54">
        <v>760653107</v>
      </c>
      <c r="G14" s="54"/>
      <c r="H14" s="10" t="str">
        <f>IF(OR(B14="",C14="",D14="",E14="",F14=""),"Data missing, please enter value in blank cell between B12 and F12","")</f>
        <v/>
      </c>
      <c r="I14" s="35"/>
      <c r="J14" s="35"/>
      <c r="O14" s="9"/>
    </row>
    <row r="15" spans="1:15" x14ac:dyDescent="0.2">
      <c r="A15" s="13" t="s">
        <v>14</v>
      </c>
      <c r="B15" s="53">
        <v>682913856</v>
      </c>
      <c r="C15" s="53">
        <v>670658487</v>
      </c>
      <c r="D15" s="53">
        <v>711634731</v>
      </c>
      <c r="E15" s="53">
        <v>773886385</v>
      </c>
      <c r="F15" s="54">
        <v>788130478</v>
      </c>
      <c r="G15" s="54"/>
      <c r="H15" s="10" t="str">
        <f>IF(OR(B15="",C15="",D15="",E15="",F15=""),"Data missing, please enter value in blank cell between B13 and F13","")</f>
        <v/>
      </c>
      <c r="I15" s="35"/>
      <c r="J15" s="35"/>
      <c r="O15" s="9"/>
    </row>
    <row r="16" spans="1:15" x14ac:dyDescent="0.2">
      <c r="A16" s="13" t="s">
        <v>15</v>
      </c>
      <c r="B16" s="53">
        <v>687768131</v>
      </c>
      <c r="C16" s="53">
        <v>688881110</v>
      </c>
      <c r="D16" s="53">
        <v>719739703</v>
      </c>
      <c r="E16" s="53">
        <v>729626495</v>
      </c>
      <c r="F16" s="54">
        <v>719891858</v>
      </c>
      <c r="G16" s="54"/>
      <c r="H16" s="10" t="str">
        <f>IF(OR(B16="",C16="",D16="",E16="",F16=""),"Data missing, please enter value in blank cell between B14 and F14","")</f>
        <v/>
      </c>
      <c r="I16" s="35"/>
      <c r="J16" s="35"/>
      <c r="O16" s="9"/>
    </row>
    <row r="17" spans="1:15" x14ac:dyDescent="0.2">
      <c r="A17" s="13" t="s">
        <v>16</v>
      </c>
      <c r="B17" s="53">
        <v>611633966</v>
      </c>
      <c r="C17" s="53">
        <v>616765638</v>
      </c>
      <c r="D17" s="53">
        <v>658182815</v>
      </c>
      <c r="E17" s="53">
        <v>682380296</v>
      </c>
      <c r="F17" s="54">
        <v>675443371</v>
      </c>
      <c r="G17" s="54"/>
      <c r="H17" s="10" t="str">
        <f>IF(OR(B17="",C17="",D17="",E17="",F17=""),"Data missing, please enter value in blank cell between B15 and F15","")</f>
        <v/>
      </c>
      <c r="I17" s="35"/>
      <c r="O17" s="9"/>
    </row>
    <row r="18" spans="1:15" x14ac:dyDescent="0.2">
      <c r="A18" s="14" t="s">
        <v>17</v>
      </c>
      <c r="B18" s="55">
        <v>669930644</v>
      </c>
      <c r="C18" s="55">
        <v>672818416</v>
      </c>
      <c r="D18" s="55">
        <v>791291658</v>
      </c>
      <c r="E18" s="55">
        <v>764304285</v>
      </c>
      <c r="F18" s="56">
        <v>772008329</v>
      </c>
      <c r="G18" s="56"/>
      <c r="H18" s="10" t="str">
        <f>IF(OR(B18="",C18="",D18="",E18="",F18=""),"Data missing, please enter value in blank cell between B16 and F16","")</f>
        <v/>
      </c>
      <c r="I18" s="35"/>
      <c r="O18" s="9"/>
    </row>
    <row r="19" spans="1:15" x14ac:dyDescent="0.2">
      <c r="C19" s="38"/>
      <c r="D19" s="38"/>
      <c r="E19" s="38"/>
      <c r="F19" s="38"/>
      <c r="G19" s="38"/>
      <c r="J19" s="115"/>
      <c r="K19" s="114"/>
    </row>
    <row r="20" spans="1:15" ht="15.75" x14ac:dyDescent="0.25">
      <c r="A20" s="3" t="s">
        <v>42</v>
      </c>
      <c r="K20" s="114"/>
    </row>
    <row r="21" spans="1:15" x14ac:dyDescent="0.2">
      <c r="J21" s="34"/>
      <c r="K21" s="34"/>
      <c r="L21" s="34"/>
      <c r="M21" s="34"/>
    </row>
    <row r="22" spans="1:15" x14ac:dyDescent="0.2">
      <c r="A22" s="5"/>
      <c r="B22" s="116" t="s">
        <v>35</v>
      </c>
      <c r="C22" s="117"/>
      <c r="D22" s="117"/>
      <c r="E22" s="117"/>
      <c r="F22" s="117"/>
      <c r="G22" s="118"/>
      <c r="J22" s="34"/>
      <c r="K22" s="34"/>
      <c r="L22" s="34"/>
      <c r="M22" s="34"/>
    </row>
    <row r="23" spans="1:15" x14ac:dyDescent="0.2">
      <c r="A23" s="29" t="s">
        <v>28</v>
      </c>
      <c r="B23" s="50" t="s">
        <v>37</v>
      </c>
      <c r="C23" s="50" t="s">
        <v>38</v>
      </c>
      <c r="D23" s="50" t="s">
        <v>39</v>
      </c>
      <c r="E23" s="50" t="s">
        <v>40</v>
      </c>
      <c r="F23" s="110" t="s">
        <v>41</v>
      </c>
      <c r="G23" s="110" t="s">
        <v>118</v>
      </c>
      <c r="J23" s="34"/>
      <c r="K23" s="34"/>
      <c r="L23" s="34"/>
      <c r="M23" s="34"/>
      <c r="N23" s="12"/>
    </row>
    <row r="24" spans="1:15" x14ac:dyDescent="0.2">
      <c r="A24" s="32" t="s">
        <v>6</v>
      </c>
      <c r="B24" s="57">
        <v>27000000</v>
      </c>
      <c r="C24" s="57">
        <v>42000000</v>
      </c>
      <c r="D24" s="57">
        <v>27000000</v>
      </c>
      <c r="E24" s="57">
        <v>12000000</v>
      </c>
      <c r="F24" s="52">
        <v>-7766666.666666667</v>
      </c>
      <c r="G24" s="70"/>
      <c r="H24" s="10" t="str">
        <f>IF(OR(B24="",C24="",D24="",E24="",F24="",G24=""),"Data missing, please enter value in blank cell between B22 and G22","")</f>
        <v>Data missing, please enter value in blank cell between B22 and G22</v>
      </c>
      <c r="J24" s="34"/>
      <c r="K24" s="34"/>
      <c r="L24" s="34"/>
      <c r="M24" s="34"/>
      <c r="N24" s="8"/>
      <c r="O24" s="9"/>
    </row>
    <row r="25" spans="1:15" x14ac:dyDescent="0.2">
      <c r="A25" s="13" t="s">
        <v>7</v>
      </c>
      <c r="B25" s="58">
        <v>27000000</v>
      </c>
      <c r="C25" s="58">
        <v>42000000</v>
      </c>
      <c r="D25" s="58">
        <v>27000000</v>
      </c>
      <c r="E25" s="58">
        <v>12000000</v>
      </c>
      <c r="F25" s="54">
        <v>-7766666.666666667</v>
      </c>
      <c r="G25" s="71"/>
      <c r="H25" s="10" t="str">
        <f>IF(OR(B25="",C25="",D25="",E25="",F25="",G25=""),"Data missing, please enter value in blank cell between B23 and G23","")</f>
        <v>Data missing, please enter value in blank cell between B23 and G23</v>
      </c>
      <c r="J25" s="34"/>
      <c r="K25" s="34"/>
      <c r="L25" s="34"/>
      <c r="M25" s="34"/>
      <c r="N25" s="8"/>
      <c r="O25" s="9"/>
    </row>
    <row r="26" spans="1:15" x14ac:dyDescent="0.2">
      <c r="A26" s="13" t="s">
        <v>8</v>
      </c>
      <c r="B26" s="58">
        <v>27000000</v>
      </c>
      <c r="C26" s="58">
        <v>42000000</v>
      </c>
      <c r="D26" s="58">
        <v>27000000</v>
      </c>
      <c r="E26" s="58">
        <v>-3000000</v>
      </c>
      <c r="F26" s="54">
        <v>-7766666.666666667</v>
      </c>
      <c r="G26" s="71"/>
      <c r="H26" s="10" t="str">
        <f>IF(OR(B26="",C26="",D26="",E26="",F26="",G26=""),"Data missing, please enter value in blank cell between B24 and G24","")</f>
        <v>Data missing, please enter value in blank cell between B24 and G24</v>
      </c>
      <c r="J26" s="34"/>
      <c r="K26" s="34"/>
      <c r="L26" s="34"/>
      <c r="M26" s="34"/>
      <c r="N26" s="8"/>
      <c r="O26" s="9"/>
    </row>
    <row r="27" spans="1:15" x14ac:dyDescent="0.2">
      <c r="A27" s="13" t="s">
        <v>9</v>
      </c>
      <c r="B27" s="58">
        <v>27000000</v>
      </c>
      <c r="C27" s="58">
        <v>42000000</v>
      </c>
      <c r="D27" s="58">
        <v>27000000</v>
      </c>
      <c r="E27" s="58">
        <v>-3000000</v>
      </c>
      <c r="F27" s="54">
        <v>8533333.3333333358</v>
      </c>
      <c r="G27" s="71"/>
      <c r="H27" s="10" t="str">
        <f>IF(OR(B27="",C27="",D27="",E27="",F27="",G27=""),"Data missing, please enter value in blank cell between B25 and G25","")</f>
        <v>Data missing, please enter value in blank cell between B25 and G25</v>
      </c>
      <c r="I27" s="41"/>
      <c r="J27" s="41"/>
      <c r="K27" s="41"/>
      <c r="L27" s="34"/>
      <c r="M27" s="34"/>
      <c r="N27" s="8"/>
      <c r="O27" s="9"/>
    </row>
    <row r="28" spans="1:15" x14ac:dyDescent="0.2">
      <c r="A28" s="13" t="s">
        <v>10</v>
      </c>
      <c r="B28" s="58">
        <v>42000000</v>
      </c>
      <c r="C28" s="58">
        <v>27000000</v>
      </c>
      <c r="D28" s="58">
        <v>12000000</v>
      </c>
      <c r="E28" s="58">
        <v>-3000000</v>
      </c>
      <c r="F28" s="54">
        <v>8533333.3333333358</v>
      </c>
      <c r="G28" s="71"/>
      <c r="H28" s="10" t="str">
        <f>IF(OR(B28="",C28="",D28="",E28="",F28="",G28=""),"Data missing, please enter value in blank cell between B26 and G26","")</f>
        <v>Data missing, please enter value in blank cell between B26 and G26</v>
      </c>
      <c r="I28" s="41"/>
      <c r="J28" s="41"/>
      <c r="K28" s="41"/>
      <c r="L28" s="34"/>
      <c r="M28" s="34"/>
      <c r="N28" s="8"/>
      <c r="O28" s="9"/>
    </row>
    <row r="29" spans="1:15" x14ac:dyDescent="0.2">
      <c r="A29" s="13" t="s">
        <v>11</v>
      </c>
      <c r="B29" s="58">
        <v>42000000</v>
      </c>
      <c r="C29" s="58">
        <v>27000000</v>
      </c>
      <c r="D29" s="58">
        <v>12000000</v>
      </c>
      <c r="E29" s="58">
        <v>-3000000</v>
      </c>
      <c r="F29" s="54">
        <v>8533333.3333333358</v>
      </c>
      <c r="G29" s="71"/>
      <c r="H29" s="10" t="str">
        <f>IF(OR(B29="",C29="",D29="",E29="",F29="",G29=""),"Data missing, please enter value in blank cell between B27 and G27","")</f>
        <v>Data missing, please enter value in blank cell between B27 and G27</v>
      </c>
      <c r="I29" s="41"/>
      <c r="J29" s="41"/>
      <c r="K29" s="41"/>
      <c r="L29" s="34"/>
      <c r="M29" s="34"/>
      <c r="N29" s="8"/>
      <c r="O29" s="9"/>
    </row>
    <row r="30" spans="1:15" x14ac:dyDescent="0.2">
      <c r="A30" s="13" t="s">
        <v>12</v>
      </c>
      <c r="B30" s="58">
        <v>42000000</v>
      </c>
      <c r="C30" s="58">
        <v>27000000</v>
      </c>
      <c r="D30" s="58">
        <v>12000000</v>
      </c>
      <c r="E30" s="58">
        <v>4766666.666666667</v>
      </c>
      <c r="F30" s="54">
        <v>17466666.666666701</v>
      </c>
      <c r="G30" s="71"/>
      <c r="H30" s="10" t="str">
        <f>IF(OR(B30="",C30="",D30="",E30="",F30="",G30=""),"Data missing, please enter value in blank cell between B28 and G28","")</f>
        <v>Data missing, please enter value in blank cell between B28 and G28</v>
      </c>
      <c r="I30" s="41"/>
      <c r="J30" s="41"/>
      <c r="K30" s="41"/>
      <c r="L30" s="34"/>
      <c r="M30" s="34"/>
      <c r="N30" s="8"/>
      <c r="O30" s="9"/>
    </row>
    <row r="31" spans="1:15" x14ac:dyDescent="0.2">
      <c r="A31" s="13" t="s">
        <v>13</v>
      </c>
      <c r="B31" s="58">
        <v>42000000</v>
      </c>
      <c r="C31" s="58">
        <v>37000000</v>
      </c>
      <c r="D31" s="58">
        <v>12000000</v>
      </c>
      <c r="E31" s="58">
        <v>4766666.666666667</v>
      </c>
      <c r="F31" s="54">
        <v>17466666.666666701</v>
      </c>
      <c r="G31" s="54"/>
      <c r="H31" s="10" t="str">
        <f>IF(OR(B31="",C31="",D31="",E31="",F31="",G31=""),"Data missing, please enter value in blank cell between B29 and G29","")</f>
        <v>Data missing, please enter value in blank cell between B29 and G29</v>
      </c>
      <c r="I31" s="41"/>
      <c r="J31" s="41"/>
      <c r="K31" s="41"/>
      <c r="L31" s="34"/>
      <c r="M31" s="34"/>
      <c r="N31" s="8"/>
      <c r="O31" s="9"/>
    </row>
    <row r="32" spans="1:15" x14ac:dyDescent="0.2">
      <c r="A32" s="13" t="s">
        <v>14</v>
      </c>
      <c r="B32" s="58">
        <v>42000000</v>
      </c>
      <c r="C32" s="58">
        <v>37000000</v>
      </c>
      <c r="D32" s="58">
        <v>12000000</v>
      </c>
      <c r="E32" s="58">
        <v>4766666.666666667</v>
      </c>
      <c r="F32" s="54">
        <v>17466666.666666701</v>
      </c>
      <c r="G32" s="54"/>
      <c r="H32" s="10" t="str">
        <f>IF(OR(B32="",C32="",D32="",E32="",F32="",G32=""),"Data missing, please enter value in blank cell between B30 and G30","")</f>
        <v>Data missing, please enter value in blank cell between B30 and G30</v>
      </c>
      <c r="I32" s="41"/>
      <c r="J32" s="41"/>
      <c r="K32" s="41"/>
      <c r="L32" s="34"/>
      <c r="M32" s="34"/>
      <c r="N32" s="8"/>
      <c r="O32" s="9"/>
    </row>
    <row r="33" spans="1:15" x14ac:dyDescent="0.2">
      <c r="A33" s="13" t="s">
        <v>15</v>
      </c>
      <c r="B33" s="58">
        <v>42000000</v>
      </c>
      <c r="C33" s="58">
        <v>37000000</v>
      </c>
      <c r="D33" s="58">
        <v>12000000</v>
      </c>
      <c r="E33" s="58">
        <v>-4299999.9999999991</v>
      </c>
      <c r="F33" s="54">
        <v>33900000</v>
      </c>
      <c r="G33" s="54"/>
      <c r="H33" s="10" t="str">
        <f>IF(OR(B33="",C33="",D33="",E33="",F33="",G33=""),"Data missing, please enter value in blank cell between B31 and G31","")</f>
        <v>Data missing, please enter value in blank cell between B31 and G31</v>
      </c>
      <c r="J33" s="34"/>
      <c r="K33" s="34"/>
      <c r="L33" s="34"/>
      <c r="M33" s="34"/>
      <c r="N33" s="8"/>
      <c r="O33" s="9"/>
    </row>
    <row r="34" spans="1:15" x14ac:dyDescent="0.2">
      <c r="A34" s="13" t="s">
        <v>16</v>
      </c>
      <c r="B34" s="58">
        <v>42000000</v>
      </c>
      <c r="C34" s="58">
        <v>37000000</v>
      </c>
      <c r="D34" s="58">
        <v>12000000</v>
      </c>
      <c r="E34" s="58">
        <v>-4299999.9999999991</v>
      </c>
      <c r="F34" s="54">
        <v>33900000</v>
      </c>
      <c r="G34" s="54"/>
      <c r="H34" s="10" t="str">
        <f>IF(OR(B34="",C34="",D34="",E34="",F34="",G34=""),"Data missing, please enter value in blank cell between B32 and G32","")</f>
        <v>Data missing, please enter value in blank cell between B32 and G32</v>
      </c>
      <c r="J34" s="34"/>
      <c r="K34" s="34"/>
      <c r="L34" s="34"/>
      <c r="M34" s="34"/>
      <c r="N34" s="8"/>
      <c r="O34" s="9"/>
    </row>
    <row r="35" spans="1:15" x14ac:dyDescent="0.2">
      <c r="A35" s="14" t="s">
        <v>17</v>
      </c>
      <c r="B35" s="59">
        <v>42000000</v>
      </c>
      <c r="C35" s="59">
        <v>37000000</v>
      </c>
      <c r="D35" s="59">
        <v>12000000</v>
      </c>
      <c r="E35" s="59">
        <v>-4299999.9999999991</v>
      </c>
      <c r="F35" s="56">
        <v>33900000</v>
      </c>
      <c r="G35" s="56"/>
      <c r="H35" s="10" t="str">
        <f>IF(OR(B35="",C35="",D35="",E35="",F35="",G35=""),"Data missing, please enter value in blank cell between B33 and G33","")</f>
        <v>Data missing, please enter value in blank cell between B33 and G33</v>
      </c>
      <c r="J35" s="34"/>
      <c r="K35" s="34"/>
      <c r="L35" s="34"/>
      <c r="M35" s="34"/>
      <c r="N35" s="8"/>
      <c r="O35" s="9"/>
    </row>
    <row r="36" spans="1:15" x14ac:dyDescent="0.2">
      <c r="J36" s="34"/>
      <c r="K36" s="34"/>
      <c r="L36" s="34"/>
      <c r="M36" s="34"/>
      <c r="N36" s="34"/>
    </row>
    <row r="37" spans="1:15" x14ac:dyDescent="0.2">
      <c r="A37" s="41"/>
      <c r="B37" s="42"/>
      <c r="C37" s="42"/>
      <c r="D37" s="42"/>
      <c r="E37" s="42"/>
      <c r="F37" s="42"/>
      <c r="G37" s="42"/>
      <c r="H37" s="41"/>
      <c r="I37" s="41"/>
      <c r="J37" s="34"/>
      <c r="K37" s="34"/>
      <c r="L37" s="34"/>
      <c r="M37" s="34"/>
      <c r="N37" s="34"/>
    </row>
    <row r="38" spans="1:15" x14ac:dyDescent="0.2">
      <c r="A38" s="41"/>
      <c r="B38" s="43"/>
      <c r="C38" s="43"/>
      <c r="D38" s="43"/>
      <c r="E38" s="43"/>
      <c r="F38" s="43"/>
      <c r="G38" s="43"/>
      <c r="H38" s="41"/>
      <c r="I38" s="41"/>
      <c r="J38" s="34"/>
      <c r="K38" s="34"/>
      <c r="L38" s="34"/>
      <c r="M38" s="34"/>
      <c r="N38" s="34"/>
    </row>
    <row r="39" spans="1:15" x14ac:dyDescent="0.2">
      <c r="A39" s="41"/>
      <c r="B39" s="44"/>
      <c r="C39" s="44"/>
      <c r="D39" s="44"/>
      <c r="E39" s="44"/>
      <c r="F39" s="44"/>
      <c r="G39" s="44"/>
      <c r="H39" s="41"/>
      <c r="I39" s="41"/>
      <c r="J39" s="34"/>
      <c r="K39" s="34"/>
      <c r="L39" s="34"/>
      <c r="M39" s="34"/>
      <c r="N39" s="34"/>
    </row>
    <row r="40" spans="1:15" x14ac:dyDescent="0.2">
      <c r="A40" s="41"/>
      <c r="B40" s="44"/>
      <c r="C40" s="44"/>
      <c r="D40" s="44"/>
      <c r="E40" s="44"/>
      <c r="F40" s="44"/>
      <c r="G40" s="44"/>
      <c r="H40" s="41"/>
      <c r="I40" s="41"/>
      <c r="J40" s="34"/>
      <c r="K40" s="34"/>
      <c r="L40" s="34"/>
      <c r="M40" s="34"/>
      <c r="N40" s="34"/>
    </row>
    <row r="41" spans="1:15" x14ac:dyDescent="0.2">
      <c r="A41" s="41"/>
      <c r="B41" s="44"/>
      <c r="C41" s="44"/>
      <c r="D41" s="44"/>
      <c r="E41" s="44"/>
      <c r="F41" s="44"/>
      <c r="G41" s="44"/>
      <c r="H41" s="41"/>
      <c r="I41" s="41"/>
      <c r="J41" s="34"/>
      <c r="K41" s="34"/>
      <c r="L41" s="34"/>
      <c r="M41" s="34"/>
      <c r="N41" s="34"/>
    </row>
    <row r="42" spans="1:15" x14ac:dyDescent="0.2">
      <c r="A42" s="41"/>
      <c r="B42" s="44"/>
      <c r="C42" s="44"/>
      <c r="D42" s="44"/>
      <c r="E42" s="44"/>
      <c r="F42" s="44"/>
      <c r="G42" s="44"/>
      <c r="H42" s="41"/>
      <c r="I42" s="41"/>
      <c r="J42" s="34"/>
      <c r="K42" s="34"/>
      <c r="L42" s="34"/>
      <c r="M42" s="34"/>
      <c r="N42" s="34"/>
    </row>
    <row r="43" spans="1:15" x14ac:dyDescent="0.2">
      <c r="A43" s="41"/>
      <c r="B43" s="44"/>
      <c r="C43" s="44"/>
      <c r="D43" s="44"/>
      <c r="E43" s="44"/>
      <c r="F43" s="44"/>
      <c r="G43" s="44"/>
      <c r="H43" s="41"/>
      <c r="I43" s="41"/>
      <c r="J43" s="34"/>
      <c r="K43" s="34"/>
      <c r="L43" s="34"/>
      <c r="M43" s="34"/>
      <c r="N43" s="34"/>
    </row>
    <row r="44" spans="1:15" x14ac:dyDescent="0.2">
      <c r="A44" s="41"/>
      <c r="B44" s="44"/>
      <c r="C44" s="44"/>
      <c r="D44" s="44"/>
      <c r="E44" s="44"/>
      <c r="F44" s="44"/>
      <c r="G44" s="44"/>
      <c r="H44" s="41"/>
      <c r="I44" s="41"/>
      <c r="J44" s="34"/>
      <c r="K44" s="34"/>
      <c r="L44" s="34"/>
      <c r="M44" s="34"/>
      <c r="N44" s="34"/>
    </row>
    <row r="45" spans="1:15" x14ac:dyDescent="0.2">
      <c r="A45" s="41"/>
      <c r="B45" s="44"/>
      <c r="C45" s="44"/>
      <c r="D45" s="44"/>
      <c r="E45" s="44"/>
      <c r="F45" s="44"/>
      <c r="G45" s="44"/>
      <c r="H45" s="41"/>
      <c r="I45" s="41"/>
      <c r="J45" s="34"/>
      <c r="K45" s="34"/>
      <c r="L45" s="34"/>
      <c r="M45" s="34"/>
      <c r="N45" s="34"/>
    </row>
    <row r="46" spans="1:15" x14ac:dyDescent="0.2">
      <c r="A46" s="41"/>
      <c r="B46" s="44"/>
      <c r="C46" s="44"/>
      <c r="D46" s="44"/>
      <c r="E46" s="44"/>
      <c r="F46" s="44"/>
      <c r="G46" s="44"/>
      <c r="H46" s="41"/>
      <c r="I46" s="41"/>
      <c r="J46" s="34"/>
      <c r="K46" s="34"/>
      <c r="L46" s="34"/>
      <c r="M46" s="34"/>
      <c r="N46" s="34"/>
    </row>
    <row r="47" spans="1:15" x14ac:dyDescent="0.2">
      <c r="A47" s="41"/>
      <c r="B47" s="44"/>
      <c r="C47" s="44"/>
      <c r="D47" s="44"/>
      <c r="E47" s="44"/>
      <c r="F47" s="44"/>
      <c r="G47" s="44"/>
      <c r="H47" s="41"/>
      <c r="I47" s="41"/>
      <c r="J47" s="34"/>
      <c r="K47" s="34"/>
      <c r="L47" s="34"/>
      <c r="M47" s="34"/>
      <c r="N47" s="34"/>
    </row>
    <row r="48" spans="1:15" x14ac:dyDescent="0.2">
      <c r="A48" s="41"/>
      <c r="B48" s="44"/>
      <c r="C48" s="44"/>
      <c r="D48" s="44"/>
      <c r="E48" s="44"/>
      <c r="F48" s="44"/>
      <c r="G48" s="44"/>
      <c r="H48" s="41"/>
      <c r="I48" s="41"/>
      <c r="J48" s="34"/>
      <c r="K48" s="34"/>
      <c r="L48" s="34"/>
      <c r="M48" s="34"/>
      <c r="N48" s="34"/>
    </row>
    <row r="49" spans="1:14" x14ac:dyDescent="0.2">
      <c r="A49" s="41"/>
      <c r="B49" s="44"/>
      <c r="C49" s="44"/>
      <c r="D49" s="44"/>
      <c r="E49" s="44"/>
      <c r="F49" s="44"/>
      <c r="G49" s="44"/>
      <c r="H49" s="41"/>
      <c r="I49" s="41"/>
      <c r="J49" s="34"/>
      <c r="K49" s="34"/>
      <c r="L49" s="34"/>
      <c r="M49" s="34"/>
      <c r="N49" s="34"/>
    </row>
    <row r="50" spans="1:14" x14ac:dyDescent="0.2">
      <c r="A50" s="41"/>
      <c r="B50" s="44"/>
      <c r="C50" s="44"/>
      <c r="D50" s="44"/>
      <c r="E50" s="44"/>
      <c r="F50" s="44"/>
      <c r="G50" s="44"/>
      <c r="H50" s="41"/>
      <c r="I50" s="41"/>
      <c r="J50" s="34"/>
      <c r="K50" s="34"/>
      <c r="L50" s="34"/>
      <c r="M50" s="34"/>
      <c r="N50" s="34"/>
    </row>
    <row r="51" spans="1:14" x14ac:dyDescent="0.2">
      <c r="A51" s="41"/>
      <c r="B51" s="42"/>
      <c r="C51" s="42"/>
      <c r="D51" s="42"/>
      <c r="E51" s="42"/>
      <c r="F51" s="42"/>
      <c r="G51" s="42"/>
      <c r="H51" s="41"/>
      <c r="I51" s="41"/>
    </row>
    <row r="52" spans="1:14" x14ac:dyDescent="0.2">
      <c r="A52" s="41"/>
      <c r="B52" s="42"/>
      <c r="C52" s="46"/>
      <c r="D52" s="46"/>
      <c r="E52" s="46"/>
      <c r="F52" s="46"/>
      <c r="G52" s="46"/>
      <c r="H52" s="41"/>
      <c r="I52" s="41"/>
    </row>
    <row r="53" spans="1:14" x14ac:dyDescent="0.2">
      <c r="A53" s="45"/>
      <c r="B53" s="42"/>
      <c r="C53" s="46"/>
      <c r="D53" s="46"/>
      <c r="E53" s="46"/>
      <c r="F53" s="46"/>
      <c r="G53" s="46"/>
      <c r="H53" s="41"/>
      <c r="I53" s="41"/>
    </row>
    <row r="54" spans="1:14" x14ac:dyDescent="0.2">
      <c r="A54" s="41"/>
      <c r="B54" s="42"/>
      <c r="C54" s="42"/>
      <c r="D54" s="42"/>
      <c r="E54" s="42"/>
      <c r="F54" s="42"/>
      <c r="G54" s="42"/>
      <c r="H54" s="41"/>
      <c r="I54" s="41"/>
    </row>
    <row r="55" spans="1:14" x14ac:dyDescent="0.2">
      <c r="A55" s="45"/>
      <c r="B55" s="42"/>
      <c r="C55" s="46"/>
      <c r="D55" s="46"/>
      <c r="E55" s="46"/>
      <c r="F55" s="46"/>
      <c r="G55" s="46"/>
      <c r="H55" s="41"/>
      <c r="I55" s="41"/>
    </row>
    <row r="56" spans="1:14" x14ac:dyDescent="0.2">
      <c r="A56" s="45"/>
      <c r="B56" s="42"/>
      <c r="C56" s="46"/>
      <c r="D56" s="46"/>
      <c r="E56" s="46"/>
      <c r="F56" s="46"/>
      <c r="G56" s="46"/>
      <c r="H56" s="41"/>
      <c r="I56" s="41"/>
    </row>
    <row r="57" spans="1:14" x14ac:dyDescent="0.2">
      <c r="A57" s="41"/>
      <c r="B57" s="42"/>
      <c r="C57" s="42"/>
      <c r="D57" s="42"/>
      <c r="E57" s="42"/>
      <c r="F57" s="42"/>
      <c r="G57" s="42"/>
      <c r="H57" s="41"/>
      <c r="I57" s="41"/>
    </row>
    <row r="58" spans="1:14" x14ac:dyDescent="0.2">
      <c r="A58" s="41"/>
      <c r="B58" s="42"/>
      <c r="C58" s="42"/>
      <c r="D58" s="42"/>
      <c r="E58" s="42"/>
      <c r="F58" s="47"/>
      <c r="G58" s="44"/>
      <c r="H58" s="41"/>
      <c r="I58" s="41"/>
    </row>
    <row r="59" spans="1:14" x14ac:dyDescent="0.2">
      <c r="A59" s="41"/>
      <c r="B59" s="42"/>
      <c r="C59" s="42"/>
      <c r="D59" s="42"/>
      <c r="E59" s="42"/>
      <c r="F59" s="42"/>
      <c r="G59" s="42"/>
      <c r="H59" s="41"/>
      <c r="I59" s="41"/>
    </row>
    <row r="60" spans="1:14" x14ac:dyDescent="0.2">
      <c r="A60" s="41"/>
      <c r="B60" s="42"/>
      <c r="C60" s="42"/>
      <c r="D60" s="42"/>
      <c r="E60" s="42"/>
      <c r="F60" s="42"/>
      <c r="G60" s="42"/>
      <c r="H60" s="41"/>
      <c r="I60" s="41"/>
    </row>
  </sheetData>
  <mergeCells count="2">
    <mergeCell ref="B22:G22"/>
    <mergeCell ref="B5:G5"/>
  </mergeCells>
  <phoneticPr fontId="0" type="noConversion"/>
  <pageMargins left="0.74803149606299213" right="0.74803149606299213" top="0.98425196850393704" bottom="0.98425196850393704" header="0.51181102362204722" footer="0.51181102362204722"/>
  <pageSetup paperSize="9" scale="78" orientation="landscape"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590C7-F984-4FCC-B3FB-ED2280955AC6}">
  <sheetPr>
    <pageSetUpPr fitToPage="1"/>
  </sheetPr>
  <dimension ref="A1:F57"/>
  <sheetViews>
    <sheetView topLeftCell="A31" zoomScale="130" zoomScaleNormal="130" workbookViewId="0">
      <selection activeCell="D57" sqref="D57"/>
    </sheetView>
  </sheetViews>
  <sheetFormatPr defaultColWidth="9.28515625" defaultRowHeight="12.75" x14ac:dyDescent="0.2"/>
  <cols>
    <col min="1" max="1" width="9.28515625" style="122"/>
    <col min="2" max="2" width="8.28515625" style="122" customWidth="1"/>
    <col min="3" max="3" width="16" style="122" customWidth="1"/>
    <col min="4" max="4" width="9.7109375" style="122" customWidth="1"/>
    <col min="5" max="5" width="24.28515625" style="122" bestFit="1" customWidth="1"/>
    <col min="6" max="16384" width="9.28515625" style="122"/>
  </cols>
  <sheetData>
    <row r="1" spans="1:5" x14ac:dyDescent="0.2">
      <c r="A1" s="18" t="s">
        <v>43</v>
      </c>
    </row>
    <row r="4" spans="1:5" x14ac:dyDescent="0.2">
      <c r="A4" s="92" t="s">
        <v>44</v>
      </c>
      <c r="B4" s="93" t="s">
        <v>45</v>
      </c>
      <c r="C4" s="93" t="s">
        <v>46</v>
      </c>
      <c r="D4" s="93" t="s">
        <v>47</v>
      </c>
      <c r="E4" s="122" t="s">
        <v>48</v>
      </c>
    </row>
    <row r="5" spans="1:5" hidden="1" x14ac:dyDescent="0.2">
      <c r="A5" s="94">
        <v>37956</v>
      </c>
      <c r="B5" s="95" t="s">
        <v>49</v>
      </c>
      <c r="C5" s="123">
        <v>-150</v>
      </c>
      <c r="D5" s="124">
        <f>C5/12</f>
        <v>-12.5</v>
      </c>
      <c r="E5" s="125"/>
    </row>
    <row r="6" spans="1:5" hidden="1" x14ac:dyDescent="0.2">
      <c r="A6" s="94">
        <v>38261</v>
      </c>
      <c r="B6" s="96" t="s">
        <v>50</v>
      </c>
      <c r="C6" s="126">
        <v>-150</v>
      </c>
      <c r="D6" s="124">
        <f t="shared" ref="D6:D30" si="0">C6/12</f>
        <v>-12.5</v>
      </c>
      <c r="E6" s="125"/>
    </row>
    <row r="7" spans="1:5" hidden="1" x14ac:dyDescent="0.2">
      <c r="A7" s="94">
        <v>38384</v>
      </c>
      <c r="B7" s="96" t="s">
        <v>51</v>
      </c>
      <c r="C7" s="126">
        <f>-1800/5</f>
        <v>-360</v>
      </c>
      <c r="D7" s="124">
        <f t="shared" si="0"/>
        <v>-30</v>
      </c>
      <c r="E7" s="125"/>
    </row>
    <row r="8" spans="1:5" hidden="1" x14ac:dyDescent="0.2">
      <c r="A8" s="94">
        <v>38443</v>
      </c>
      <c r="B8" s="96" t="s">
        <v>52</v>
      </c>
      <c r="C8" s="126">
        <v>-300</v>
      </c>
      <c r="D8" s="124">
        <f t="shared" si="0"/>
        <v>-25</v>
      </c>
      <c r="E8" s="125"/>
    </row>
    <row r="9" spans="1:5" hidden="1" x14ac:dyDescent="0.2">
      <c r="A9" s="94">
        <v>38991</v>
      </c>
      <c r="B9" s="96" t="s">
        <v>53</v>
      </c>
      <c r="C9" s="126">
        <v>-300</v>
      </c>
      <c r="D9" s="124">
        <f t="shared" si="0"/>
        <v>-25</v>
      </c>
      <c r="E9" s="125"/>
    </row>
    <row r="10" spans="1:5" hidden="1" x14ac:dyDescent="0.2">
      <c r="A10" s="94">
        <v>39264</v>
      </c>
      <c r="B10" s="97" t="s">
        <v>54</v>
      </c>
      <c r="C10" s="126">
        <v>-120</v>
      </c>
      <c r="D10" s="124">
        <f t="shared" si="0"/>
        <v>-10</v>
      </c>
      <c r="E10" s="125"/>
    </row>
    <row r="11" spans="1:5" hidden="1" x14ac:dyDescent="0.2">
      <c r="A11" s="94">
        <v>39356</v>
      </c>
      <c r="B11" s="96" t="s">
        <v>55</v>
      </c>
      <c r="C11" s="126">
        <v>-400</v>
      </c>
      <c r="D11" s="124">
        <f t="shared" si="0"/>
        <v>-33.333333333333336</v>
      </c>
      <c r="E11" s="125"/>
    </row>
    <row r="12" spans="1:5" hidden="1" x14ac:dyDescent="0.2">
      <c r="A12" s="94">
        <v>39722</v>
      </c>
      <c r="B12" s="96" t="s">
        <v>56</v>
      </c>
      <c r="C12" s="126">
        <v>-130</v>
      </c>
      <c r="D12" s="124">
        <f t="shared" si="0"/>
        <v>-10.833333333333334</v>
      </c>
      <c r="E12" s="125"/>
    </row>
    <row r="13" spans="1:5" hidden="1" x14ac:dyDescent="0.2">
      <c r="A13" s="94">
        <v>39873</v>
      </c>
      <c r="B13" s="96" t="s">
        <v>57</v>
      </c>
      <c r="C13" s="123">
        <v>-160</v>
      </c>
      <c r="D13" s="124">
        <f t="shared" si="0"/>
        <v>-13.333333333333334</v>
      </c>
      <c r="E13" s="125"/>
    </row>
    <row r="14" spans="1:5" hidden="1" x14ac:dyDescent="0.2">
      <c r="A14" s="94">
        <v>40087</v>
      </c>
      <c r="B14" s="96" t="s">
        <v>58</v>
      </c>
      <c r="C14" s="123">
        <v>-80</v>
      </c>
      <c r="D14" s="124">
        <f t="shared" si="0"/>
        <v>-6.666666666666667</v>
      </c>
      <c r="E14" s="125"/>
    </row>
    <row r="15" spans="1:5" hidden="1" x14ac:dyDescent="0.2">
      <c r="A15" s="94">
        <v>40210</v>
      </c>
      <c r="B15" s="96" t="s">
        <v>59</v>
      </c>
      <c r="C15" s="123">
        <v>-80</v>
      </c>
      <c r="D15" s="124">
        <f t="shared" si="0"/>
        <v>-6.666666666666667</v>
      </c>
      <c r="E15" s="125"/>
    </row>
    <row r="16" spans="1:5" hidden="1" x14ac:dyDescent="0.2">
      <c r="A16" s="94">
        <v>40452</v>
      </c>
      <c r="B16" s="96" t="s">
        <v>60</v>
      </c>
      <c r="C16" s="123">
        <v>-240</v>
      </c>
      <c r="D16" s="124">
        <f t="shared" si="0"/>
        <v>-20</v>
      </c>
      <c r="E16" s="125"/>
    </row>
    <row r="17" spans="1:6" hidden="1" x14ac:dyDescent="0.2">
      <c r="A17" s="127">
        <v>40544</v>
      </c>
      <c r="B17" s="96" t="s">
        <v>61</v>
      </c>
      <c r="C17" s="123">
        <v>5.7</v>
      </c>
      <c r="D17" s="124">
        <f t="shared" si="0"/>
        <v>0.47500000000000003</v>
      </c>
      <c r="E17" s="125"/>
    </row>
    <row r="18" spans="1:6" hidden="1" x14ac:dyDescent="0.2">
      <c r="A18" s="94">
        <v>40634</v>
      </c>
      <c r="B18" s="96" t="s">
        <v>62</v>
      </c>
      <c r="C18" s="123">
        <v>-90</v>
      </c>
      <c r="D18" s="124">
        <f t="shared" si="0"/>
        <v>-7.5</v>
      </c>
      <c r="E18" s="125"/>
    </row>
    <row r="19" spans="1:6" hidden="1" x14ac:dyDescent="0.2">
      <c r="A19" s="127">
        <v>40634</v>
      </c>
      <c r="B19" s="39" t="s">
        <v>63</v>
      </c>
      <c r="C19" s="128">
        <v>-150</v>
      </c>
      <c r="D19" s="124">
        <f t="shared" si="0"/>
        <v>-12.5</v>
      </c>
      <c r="E19" s="125"/>
    </row>
    <row r="20" spans="1:6" hidden="1" x14ac:dyDescent="0.2">
      <c r="A20" s="129">
        <v>40817</v>
      </c>
      <c r="B20" s="96" t="s">
        <v>64</v>
      </c>
      <c r="C20" s="123">
        <v>-156</v>
      </c>
      <c r="D20" s="124">
        <f t="shared" si="0"/>
        <v>-13</v>
      </c>
      <c r="E20" s="125"/>
    </row>
    <row r="21" spans="1:6" hidden="1" x14ac:dyDescent="0.2">
      <c r="A21" s="129">
        <v>40909</v>
      </c>
      <c r="B21" s="96" t="s">
        <v>65</v>
      </c>
      <c r="C21" s="123">
        <f>2*C17</f>
        <v>11.4</v>
      </c>
      <c r="D21" s="124">
        <f t="shared" si="0"/>
        <v>0.95000000000000007</v>
      </c>
      <c r="E21" s="125"/>
    </row>
    <row r="22" spans="1:6" hidden="1" x14ac:dyDescent="0.2">
      <c r="A22" s="129">
        <v>41000</v>
      </c>
      <c r="B22" s="96" t="s">
        <v>66</v>
      </c>
      <c r="C22" s="123">
        <v>-40</v>
      </c>
      <c r="D22" s="124">
        <f t="shared" si="0"/>
        <v>-3.3333333333333335</v>
      </c>
      <c r="E22" s="125"/>
    </row>
    <row r="23" spans="1:6" hidden="1" x14ac:dyDescent="0.2">
      <c r="A23" s="129">
        <v>41000</v>
      </c>
      <c r="B23" s="39" t="s">
        <v>63</v>
      </c>
      <c r="C23" s="128">
        <v>-100</v>
      </c>
      <c r="D23" s="124">
        <f t="shared" si="0"/>
        <v>-8.3333333333333339</v>
      </c>
      <c r="E23" s="125"/>
    </row>
    <row r="24" spans="1:6" hidden="1" x14ac:dyDescent="0.2">
      <c r="A24" s="129">
        <v>41061</v>
      </c>
      <c r="B24" s="96" t="s">
        <v>67</v>
      </c>
      <c r="C24" s="130">
        <v>-203</v>
      </c>
      <c r="D24" s="124">
        <f t="shared" si="0"/>
        <v>-16.916666666666668</v>
      </c>
      <c r="F24" s="23"/>
    </row>
    <row r="25" spans="1:6" hidden="1" x14ac:dyDescent="0.2">
      <c r="A25" s="129">
        <v>41183</v>
      </c>
      <c r="B25" s="96" t="s">
        <v>68</v>
      </c>
      <c r="C25" s="126">
        <v>-290</v>
      </c>
      <c r="D25" s="124">
        <f t="shared" si="0"/>
        <v>-24.166666666666668</v>
      </c>
    </row>
    <row r="26" spans="1:6" hidden="1" x14ac:dyDescent="0.2">
      <c r="A26" s="129">
        <v>41275</v>
      </c>
      <c r="B26" s="96" t="s">
        <v>65</v>
      </c>
      <c r="C26" s="126">
        <f>2*C17</f>
        <v>11.4</v>
      </c>
      <c r="D26" s="124">
        <f t="shared" si="0"/>
        <v>0.95000000000000007</v>
      </c>
    </row>
    <row r="27" spans="1:6" hidden="1" x14ac:dyDescent="0.2">
      <c r="A27" s="129">
        <v>41365</v>
      </c>
      <c r="B27" s="96" t="s">
        <v>69</v>
      </c>
      <c r="C27" s="126">
        <v>0</v>
      </c>
      <c r="D27" s="124">
        <v>0</v>
      </c>
    </row>
    <row r="28" spans="1:6" hidden="1" x14ac:dyDescent="0.2">
      <c r="A28" s="129">
        <v>41548</v>
      </c>
      <c r="B28" s="96" t="s">
        <v>70</v>
      </c>
      <c r="C28" s="126">
        <v>-80</v>
      </c>
      <c r="D28" s="124">
        <f t="shared" si="0"/>
        <v>-6.666666666666667</v>
      </c>
    </row>
    <row r="29" spans="1:6" hidden="1" x14ac:dyDescent="0.2">
      <c r="A29" s="129">
        <v>41730</v>
      </c>
      <c r="B29" s="96" t="s">
        <v>69</v>
      </c>
      <c r="C29" s="126">
        <v>-120</v>
      </c>
      <c r="D29" s="124">
        <f t="shared" si="0"/>
        <v>-10</v>
      </c>
    </row>
    <row r="30" spans="1:6" hidden="1" x14ac:dyDescent="0.2">
      <c r="A30" s="129">
        <v>41913</v>
      </c>
      <c r="B30" s="96" t="s">
        <v>69</v>
      </c>
      <c r="C30" s="126">
        <v>120</v>
      </c>
      <c r="D30" s="124">
        <f t="shared" si="0"/>
        <v>10</v>
      </c>
    </row>
    <row r="31" spans="1:6" x14ac:dyDescent="0.2">
      <c r="A31" s="129">
        <v>42370</v>
      </c>
      <c r="B31" s="96" t="s">
        <v>69</v>
      </c>
      <c r="C31" s="98">
        <v>-45</v>
      </c>
      <c r="D31" s="131">
        <f>C31/3</f>
        <v>-15</v>
      </c>
      <c r="E31" s="132">
        <f>SUM(D31:$D$31)</f>
        <v>-15</v>
      </c>
    </row>
    <row r="32" spans="1:6" x14ac:dyDescent="0.2">
      <c r="A32" s="129">
        <v>42522</v>
      </c>
      <c r="B32" s="96" t="s">
        <v>69</v>
      </c>
      <c r="C32" s="98">
        <v>-144</v>
      </c>
      <c r="D32" s="131">
        <v>-12</v>
      </c>
      <c r="E32" s="132">
        <f>SUM(D$31:$D32)</f>
        <v>-27</v>
      </c>
    </row>
    <row r="33" spans="1:5" x14ac:dyDescent="0.2">
      <c r="A33" s="129">
        <v>42948</v>
      </c>
      <c r="B33" s="96" t="s">
        <v>69</v>
      </c>
      <c r="C33" s="98">
        <v>-144</v>
      </c>
      <c r="D33" s="131">
        <v>-15</v>
      </c>
      <c r="E33" s="132">
        <f>SUM(D$31:$D33)</f>
        <v>-42</v>
      </c>
    </row>
    <row r="34" spans="1:5" x14ac:dyDescent="0.2">
      <c r="A34" s="129">
        <v>43313</v>
      </c>
      <c r="B34" s="96" t="s">
        <v>69</v>
      </c>
      <c r="C34" s="126">
        <f>12*D34</f>
        <v>180</v>
      </c>
      <c r="D34" s="131">
        <v>15</v>
      </c>
      <c r="E34" s="132">
        <f>SUM(D$31:$D34)</f>
        <v>-27</v>
      </c>
    </row>
    <row r="35" spans="1:5" x14ac:dyDescent="0.2">
      <c r="A35" s="129">
        <v>43405</v>
      </c>
      <c r="B35" s="96" t="s">
        <v>69</v>
      </c>
      <c r="C35" s="98">
        <f t="shared" ref="C35:C37" si="1">12*D35</f>
        <v>-120</v>
      </c>
      <c r="D35" s="131">
        <v>-10</v>
      </c>
      <c r="E35" s="132">
        <f>SUM(D$31:$D35)</f>
        <v>-37</v>
      </c>
    </row>
    <row r="36" spans="1:5" x14ac:dyDescent="0.2">
      <c r="A36" s="129">
        <v>43556</v>
      </c>
      <c r="B36" s="96" t="s">
        <v>69</v>
      </c>
      <c r="C36" s="126">
        <f t="shared" si="1"/>
        <v>120</v>
      </c>
      <c r="D36" s="131">
        <v>10</v>
      </c>
      <c r="E36" s="132">
        <f>SUM(D$31:$D36)</f>
        <v>-27</v>
      </c>
    </row>
    <row r="37" spans="1:5" x14ac:dyDescent="0.2">
      <c r="A37" s="129">
        <v>43678</v>
      </c>
      <c r="B37" s="96" t="s">
        <v>69</v>
      </c>
      <c r="C37" s="126">
        <f t="shared" si="1"/>
        <v>180</v>
      </c>
      <c r="D37" s="131">
        <v>15</v>
      </c>
      <c r="E37" s="132">
        <f>SUM(D$31:$D37)</f>
        <v>-12</v>
      </c>
    </row>
    <row r="38" spans="1:5" x14ac:dyDescent="0.2">
      <c r="A38" s="129">
        <v>43983</v>
      </c>
      <c r="B38" s="96" t="s">
        <v>69</v>
      </c>
      <c r="C38" s="126">
        <f>12*D38</f>
        <v>180</v>
      </c>
      <c r="D38" s="131">
        <v>15</v>
      </c>
      <c r="E38" s="132">
        <f>SUM(D$31:$D38)</f>
        <v>3</v>
      </c>
    </row>
    <row r="39" spans="1:5" x14ac:dyDescent="0.2">
      <c r="A39" s="129">
        <v>44105</v>
      </c>
      <c r="B39" s="96" t="s">
        <v>69</v>
      </c>
      <c r="C39" s="98">
        <v>-93.2</v>
      </c>
      <c r="D39" s="131">
        <f>C39/12</f>
        <v>-7.7666666666666666</v>
      </c>
      <c r="E39" s="132">
        <f>SUM(D$31:$D39)</f>
        <v>-4.7666666666666666</v>
      </c>
    </row>
    <row r="40" spans="1:5" x14ac:dyDescent="0.2">
      <c r="A40" s="129">
        <v>44197</v>
      </c>
      <c r="B40" s="96" t="s">
        <v>69</v>
      </c>
      <c r="C40" s="126">
        <v>108.8</v>
      </c>
      <c r="D40" s="131">
        <f t="shared" ref="D40:D44" si="2">C40/12</f>
        <v>9.0666666666666664</v>
      </c>
      <c r="E40" s="132">
        <f>SUM(D$31:$D40)</f>
        <v>4.3</v>
      </c>
    </row>
    <row r="41" spans="1:5" x14ac:dyDescent="0.2">
      <c r="A41" s="129">
        <v>44287</v>
      </c>
      <c r="B41" s="96" t="s">
        <v>69</v>
      </c>
      <c r="C41" s="126">
        <v>41.6</v>
      </c>
      <c r="D41" s="131">
        <f t="shared" si="2"/>
        <v>3.4666666666666668</v>
      </c>
      <c r="E41" s="132">
        <f>SUM(D$31:$D41)</f>
        <v>7.7666666666666666</v>
      </c>
    </row>
    <row r="42" spans="1:5" x14ac:dyDescent="0.2">
      <c r="A42" s="129">
        <v>44378</v>
      </c>
      <c r="B42" s="96" t="s">
        <v>69</v>
      </c>
      <c r="C42" s="98">
        <v>-195.6</v>
      </c>
      <c r="D42" s="131">
        <f t="shared" si="2"/>
        <v>-16.3</v>
      </c>
      <c r="E42" s="132">
        <f>SUM(D$31:$D42)</f>
        <v>-8.533333333333335</v>
      </c>
    </row>
    <row r="43" spans="1:5" x14ac:dyDescent="0.2">
      <c r="A43" s="129">
        <v>44470</v>
      </c>
      <c r="B43" s="96" t="s">
        <v>69</v>
      </c>
      <c r="C43" s="98">
        <v>-107.2</v>
      </c>
      <c r="D43" s="131">
        <f t="shared" si="2"/>
        <v>-8.9333333333333336</v>
      </c>
      <c r="E43" s="132">
        <f>SUM(D$31:$D43)</f>
        <v>-17.466666666666669</v>
      </c>
    </row>
    <row r="44" spans="1:5" x14ac:dyDescent="0.2">
      <c r="A44" s="129">
        <v>44562</v>
      </c>
      <c r="B44" s="96" t="s">
        <v>69</v>
      </c>
      <c r="C44" s="98">
        <v>-197.2</v>
      </c>
      <c r="D44" s="131">
        <f t="shared" si="2"/>
        <v>-16.433333333333334</v>
      </c>
      <c r="E44" s="132">
        <f>SUM(D$31:$D44)</f>
        <v>-33.900000000000006</v>
      </c>
    </row>
    <row r="45" spans="1:5" x14ac:dyDescent="0.2">
      <c r="A45" s="129"/>
      <c r="B45" s="96"/>
      <c r="C45" s="126"/>
      <c r="D45" s="131"/>
      <c r="E45" s="132"/>
    </row>
    <row r="46" spans="1:5" x14ac:dyDescent="0.2">
      <c r="A46" s="129"/>
      <c r="B46" s="96"/>
      <c r="C46" s="126"/>
      <c r="D46" s="131"/>
      <c r="E46" s="132"/>
    </row>
    <row r="47" spans="1:5" x14ac:dyDescent="0.2">
      <c r="A47" s="129"/>
      <c r="B47" s="96"/>
      <c r="C47" s="126"/>
      <c r="D47" s="131"/>
      <c r="E47" s="132"/>
    </row>
    <row r="48" spans="1:5" x14ac:dyDescent="0.2">
      <c r="A48" s="129"/>
      <c r="B48" s="96"/>
      <c r="C48" s="126"/>
      <c r="D48" s="131"/>
      <c r="E48" s="132"/>
    </row>
    <row r="49" spans="1:5" x14ac:dyDescent="0.2">
      <c r="A49" s="129"/>
      <c r="B49" s="96"/>
      <c r="C49" s="126"/>
      <c r="D49" s="131"/>
      <c r="E49" s="132"/>
    </row>
    <row r="50" spans="1:5" x14ac:dyDescent="0.2">
      <c r="A50" s="129"/>
      <c r="B50" s="96"/>
      <c r="C50" s="126"/>
      <c r="D50" s="131"/>
      <c r="E50" s="132"/>
    </row>
    <row r="52" spans="1:5" x14ac:dyDescent="0.2">
      <c r="A52" s="133"/>
      <c r="B52" s="40"/>
      <c r="C52" s="134"/>
      <c r="D52" s="132"/>
    </row>
    <row r="53" spans="1:5" x14ac:dyDescent="0.2">
      <c r="A53" s="135" t="s">
        <v>71</v>
      </c>
    </row>
    <row r="54" spans="1:5" x14ac:dyDescent="0.2">
      <c r="A54" s="18"/>
    </row>
    <row r="55" spans="1:5" x14ac:dyDescent="0.2">
      <c r="A55" s="122" t="s">
        <v>72</v>
      </c>
    </row>
    <row r="57" spans="1:5" x14ac:dyDescent="0.2">
      <c r="A57" s="122" t="s">
        <v>73</v>
      </c>
    </row>
  </sheetData>
  <hyperlinks>
    <hyperlink ref="A53" r:id="rId1" xr:uid="{F4310A2F-D3C9-40A0-829D-87FEAF2E1C44}"/>
  </hyperlinks>
  <pageMargins left="0.26" right="0.45" top="1" bottom="1" header="0.5" footer="0.5"/>
  <pageSetup paperSize="9" scale="83" orientation="landscape" r:id="rId2"/>
  <headerFooter alignWithMargins="0"/>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H_Core_PreMigP xmlns="06a9daec-955a-4b98-be99-9010db82da52">http://iws.ims.gov.uk/sr/gandf/Finance/Planning%20Monitoring%20and%20Analysis%2FDrugs%2FIn-year%20forecasting%2F202021profile%20-%20excl%20DCMC%20Jan2021.xlsm</DH_Core_PreMigP>
    <TaxCatchAll xmlns="7aa07ef2-f4ec-4a8c-98d7-e2e24130d9f5" xsi:nil="true"/>
    <DH_Core_PreMigA xmlns="06a9daec-955a-4b98-be99-9010db82da52">Brown, Frank</DH_Core_PreMigA>
    <IconOverlay xmlns="http://schemas.microsoft.com/sharepoint/v4" xsi:nil="true"/>
    <DH_Core_PreMigE xmlns="06a9daec-955a-4b98-be99-9010db82da52">Brown, Frank</DH_Core_PreMigE>
  </documentManagement>
</p:properties>
</file>

<file path=customXml/item3.xml><?xml version="1.0" encoding="utf-8"?>
<ct:contentTypeSchema xmlns:ct="http://schemas.microsoft.com/office/2006/metadata/contentType" xmlns:ma="http://schemas.microsoft.com/office/2006/metadata/properties/metaAttributes" ct:_="" ma:_="" ma:contentTypeName="DHSC Document" ma:contentTypeID="0x0101008BB593AF3AB087458D5E971267D24B75002099A5D50BA64D4FBFA581954B0A9EA7" ma:contentTypeVersion="31" ma:contentTypeDescription="" ma:contentTypeScope="" ma:versionID="396cbf4f51ce97c36ab9f5407875c470">
  <xsd:schema xmlns:xsd="http://www.w3.org/2001/XMLSchema" xmlns:xs="http://www.w3.org/2001/XMLSchema" xmlns:p="http://schemas.microsoft.com/office/2006/metadata/properties" xmlns:ns1="http://schemas.microsoft.com/sharepoint/v3" xmlns:ns2="06a9daec-955a-4b98-be99-9010db82da52" xmlns:ns3="7aa07ef2-f4ec-4a8c-98d7-e2e24130d9f5" xmlns:ns4="http://schemas.microsoft.com/sharepoint/v4" xmlns:ns5="df9cbb09-29dc-4d85-b622-f0faeb58377b" targetNamespace="http://schemas.microsoft.com/office/2006/metadata/properties" ma:root="true" ma:fieldsID="cc1728d23a291f9256977cbae114ab3d" ns1:_="" ns2:_="" ns3:_="" ns4:_="" ns5:_="">
    <xsd:import namespace="http://schemas.microsoft.com/sharepoint/v3"/>
    <xsd:import namespace="06a9daec-955a-4b98-be99-9010db82da52"/>
    <xsd:import namespace="7aa07ef2-f4ec-4a8c-98d7-e2e24130d9f5"/>
    <xsd:import namespace="http://schemas.microsoft.com/sharepoint/v4"/>
    <xsd:import namespace="df9cbb09-29dc-4d85-b622-f0faeb58377b"/>
    <xsd:element name="properties">
      <xsd:complexType>
        <xsd:sequence>
          <xsd:element name="documentManagement">
            <xsd:complexType>
              <xsd:all>
                <xsd:element ref="ns2:DH_Core_PreMigA" minOccurs="0"/>
                <xsd:element ref="ns2:DH_Core_PreMigE" minOccurs="0"/>
                <xsd:element ref="ns2:DH_Core_PreMigP" minOccurs="0"/>
                <xsd:element ref="ns3:TaxCatchAll" minOccurs="0"/>
                <xsd:element ref="ns3:TaxCatchAllLabel" minOccurs="0"/>
                <xsd:element ref="ns4:IconOverlay" minOccurs="0"/>
                <xsd:element ref="ns1:_vti_ItemDeclaredRecord" minOccurs="0"/>
                <xsd:element ref="ns1:_vti_ItemHoldRecordStatus" minOccurs="0"/>
                <xsd:element ref="ns5:MediaServiceMetadata" minOccurs="0"/>
                <xsd:element ref="ns5:MediaServiceFastMetadata" minOccurs="0"/>
                <xsd:element ref="ns5:MediaServiceAutoKeyPoints" minOccurs="0"/>
                <xsd:element ref="ns5: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14" nillable="true" ma:displayName="Declared Record" ma:hidden="true" ma:internalName="_vti_ItemDeclaredRecord" ma:readOnly="true">
      <xsd:simpleType>
        <xsd:restriction base="dms:DateTime"/>
      </xsd:simpleType>
    </xsd:element>
    <xsd:element name="_vti_ItemHoldRecordStatus" ma:index="15"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6a9daec-955a-4b98-be99-9010db82da52" elementFormDefault="qualified">
    <xsd:import namespace="http://schemas.microsoft.com/office/2006/documentManagement/types"/>
    <xsd:import namespace="http://schemas.microsoft.com/office/infopath/2007/PartnerControls"/>
    <xsd:element name="DH_Core_PreMigA" ma:index="2" nillable="true" ma:displayName="Pre-Migration Author" ma:internalName="DH_Core_PreMigA">
      <xsd:simpleType>
        <xsd:restriction base="dms:Text">
          <xsd:maxLength value="255"/>
        </xsd:restriction>
      </xsd:simpleType>
    </xsd:element>
    <xsd:element name="DH_Core_PreMigE" ma:index="3" nillable="true" ma:displayName="Pre-Migration Editor" ma:internalName="DH_Core_PreMigE">
      <xsd:simpleType>
        <xsd:restriction base="dms:Text">
          <xsd:maxLength value="255"/>
        </xsd:restriction>
      </xsd:simpleType>
    </xsd:element>
    <xsd:element name="DH_Core_PreMigP" ma:index="4" nillable="true" ma:displayName="Pre-Migration Path" ma:internalName="DH_Core_PreMigP">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a07ef2-f4ec-4a8c-98d7-e2e24130d9f5"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843709d7-9886-4033-a365-bee3b92a3e38}" ma:internalName="TaxCatchAll" ma:showField="CatchAllData" ma:web="7aa07ef2-f4ec-4a8c-98d7-e2e24130d9f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843709d7-9886-4033-a365-bee3b92a3e38}" ma:internalName="TaxCatchAllLabel" ma:readOnly="true" ma:showField="CatchAllDataLabel" ma:web="7aa07ef2-f4ec-4a8c-98d7-e2e24130d9f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3"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9cbb09-29dc-4d85-b622-f0faeb58377b" elementFormDefault="qualified">
    <xsd:import namespace="http://schemas.microsoft.com/office/2006/documentManagement/types"/>
    <xsd:import namespace="http://schemas.microsoft.com/office/infopath/2007/PartnerControls"/>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5EC531-9635-45F0-AA5F-5A8DF13EFB31}">
  <ds:schemaRefs>
    <ds:schemaRef ds:uri="http://schemas.microsoft.com/sharepoint/v3/contenttype/forms"/>
  </ds:schemaRefs>
</ds:datastoreItem>
</file>

<file path=customXml/itemProps2.xml><?xml version="1.0" encoding="utf-8"?>
<ds:datastoreItem xmlns:ds="http://schemas.openxmlformats.org/officeDocument/2006/customXml" ds:itemID="{41B3B979-955F-40D3-AFCA-523A697137D6}">
  <ds:schemaRefs>
    <ds:schemaRef ds:uri="http://schemas.microsoft.com/office/2006/metadata/properties"/>
    <ds:schemaRef ds:uri="http://schemas.microsoft.com/office/infopath/2007/PartnerControls"/>
    <ds:schemaRef ds:uri="06a9daec-955a-4b98-be99-9010db82da52"/>
    <ds:schemaRef ds:uri="7aa07ef2-f4ec-4a8c-98d7-e2e24130d9f5"/>
    <ds:schemaRef ds:uri="http://schemas.microsoft.com/sharepoint/v4"/>
  </ds:schemaRefs>
</ds:datastoreItem>
</file>

<file path=customXml/itemProps3.xml><?xml version="1.0" encoding="utf-8"?>
<ds:datastoreItem xmlns:ds="http://schemas.openxmlformats.org/officeDocument/2006/customXml" ds:itemID="{F587814D-1860-4F8C-B0A5-4D706E7971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6a9daec-955a-4b98-be99-9010db82da52"/>
    <ds:schemaRef ds:uri="7aa07ef2-f4ec-4a8c-98d7-e2e24130d9f5"/>
    <ds:schemaRef ds:uri="http://schemas.microsoft.com/sharepoint/v4"/>
    <ds:schemaRef ds:uri="df9cbb09-29dc-4d85-b622-f0faeb5837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Notes</vt:lpstr>
      <vt:lpstr>OUTPUTS --&gt;</vt:lpstr>
      <vt:lpstr>SICBL Profile</vt:lpstr>
      <vt:lpstr>Forecasting</vt:lpstr>
      <vt:lpstr>CALCULATIONS --&gt;</vt:lpstr>
      <vt:lpstr>CalculateAverages</vt:lpstr>
      <vt:lpstr>INPUTS -- &gt;</vt:lpstr>
      <vt:lpstr>Data</vt:lpstr>
      <vt:lpstr>Policy - updated</vt:lpstr>
      <vt:lpstr>Dispensing Days</vt:lpstr>
      <vt:lpstr>Test</vt:lpstr>
      <vt:lpstr>Policy - not updated</vt:lpstr>
      <vt:lpstr>DDMonth</vt:lpstr>
      <vt:lpstr>DDYear</vt:lpstr>
      <vt:lpstr>DispensingDays</vt:lpstr>
    </vt:vector>
  </TitlesOfParts>
  <Manager/>
  <Company>Department of Health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 User</dc:creator>
  <cp:keywords/>
  <dc:description/>
  <cp:lastModifiedBy>Kate Nordstrom</cp:lastModifiedBy>
  <cp:revision/>
  <dcterms:created xsi:type="dcterms:W3CDTF">2003-08-01T14:12:13Z</dcterms:created>
  <dcterms:modified xsi:type="dcterms:W3CDTF">2022-08-23T15:55:21Z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0x0101008BB593AF3AB087458D5E971267D24B75002099A5D50BA64D4FBFA581954B0A9EA7</vt:lpwstr>
  </property>
  <property fmtid="{D5CDD505-2E9C-101B-9397-08002B2CF9AE}" pid="3" name="_dlc_policyId">
    <vt:lpwstr>/sr/gandf/Finance</vt:lpwstr>
  </property>
  <property fmtid="{D5CDD505-2E9C-101B-9397-08002B2CF9AE}" pid="4" name="ItemRetentionFormula">
    <vt:lpwstr>&lt;formula id="Microsoft.Office.RecordsManagement.PolicyFeatures.Expiration.Formula.BuiltIn"&gt;&lt;number&gt;3&lt;/number&gt;&lt;property&gt;Modified&lt;/property&gt;&lt;propertyId&gt;28cf69c5-fa48-462a-b5cd-27b6f9d2bd5f&lt;/propertyId&gt;&lt;period&gt;years&lt;/period&gt;&lt;/formula&gt;</vt:lpwstr>
  </property>
  <property fmtid="{D5CDD505-2E9C-101B-9397-08002B2CF9AE}" pid="5" name="_dlc_DocIdItemGuid">
    <vt:lpwstr>5183aab6-046b-439c-bf98-7edede065a17</vt:lpwstr>
  </property>
  <property fmtid="{D5CDD505-2E9C-101B-9397-08002B2CF9AE}" pid="6" name="Record Class">
    <vt:lpwstr>43;#Finance and Accounting|a572c143-3191-4262-9e01-e5e61eb3b989</vt:lpwstr>
  </property>
  <property fmtid="{D5CDD505-2E9C-101B-9397-08002B2CF9AE}" pid="7" name="TaxKeyword">
    <vt:lpwstr/>
  </property>
  <property fmtid="{D5CDD505-2E9C-101B-9397-08002B2CF9AE}" pid="8" name="_cx_SecurityMarkings">
    <vt:lpwstr>2104;#OFFICIAL-SENSITIVE|222b3a83-5441-4f0e-949c-aa40d477585a</vt:lpwstr>
  </property>
  <property fmtid="{D5CDD505-2E9C-101B-9397-08002B2CF9AE}" pid="9" name="Document Type">
    <vt:lpwstr>89;#Please select...|d4c3a339-8617-448c-96a4-aa4fe7bbd822</vt:lpwstr>
  </property>
  <property fmtid="{D5CDD505-2E9C-101B-9397-08002B2CF9AE}" pid="10" name="Document_x0020_Subject">
    <vt:lpwstr/>
  </property>
  <property fmtid="{D5CDD505-2E9C-101B-9397-08002B2CF9AE}" pid="11" name="Trigger_x0020_Date_x0020_Description">
    <vt:lpwstr/>
  </property>
  <property fmtid="{D5CDD505-2E9C-101B-9397-08002B2CF9AE}" pid="12" name="Trigger Date Description">
    <vt:lpwstr/>
  </property>
  <property fmtid="{D5CDD505-2E9C-101B-9397-08002B2CF9AE}" pid="13" name="Document Subject">
    <vt:lpwstr/>
  </property>
  <property fmtid="{D5CDD505-2E9C-101B-9397-08002B2CF9AE}" pid="14" name="DH_Core_EmailSubjectExt">
    <vt:lpwstr/>
  </property>
  <property fmtid="{D5CDD505-2E9C-101B-9397-08002B2CF9AE}" pid="15" name="DH_Core_EmailSubject">
    <vt:lpwstr/>
  </property>
  <property fmtid="{D5CDD505-2E9C-101B-9397-08002B2CF9AE}" pid="16" name="DH_Core_EmailFrom">
    <vt:lpwstr/>
  </property>
  <property fmtid="{D5CDD505-2E9C-101B-9397-08002B2CF9AE}" pid="17" name="DH_Core_EmailCC">
    <vt:lpwstr/>
  </property>
  <property fmtid="{D5CDD505-2E9C-101B-9397-08002B2CF9AE}" pid="18" name="DH_Core_EmailToExt">
    <vt:lpwstr/>
  </property>
  <property fmtid="{D5CDD505-2E9C-101B-9397-08002B2CF9AE}" pid="19" name="DH_Core_EmailTo">
    <vt:lpwstr/>
  </property>
  <property fmtid="{D5CDD505-2E9C-101B-9397-08002B2CF9AE}" pid="20" name="DH_Core_EmailBCC">
    <vt:lpwstr/>
  </property>
  <property fmtid="{D5CDD505-2E9C-101B-9397-08002B2CF9AE}" pid="21" name="DH_Core_PreMigA">
    <vt:lpwstr>Brown, Frank</vt:lpwstr>
  </property>
  <property fmtid="{D5CDD505-2E9C-101B-9397-08002B2CF9AE}" pid="22" name="DH_Core_EmailFromExt">
    <vt:lpwstr/>
  </property>
  <property fmtid="{D5CDD505-2E9C-101B-9397-08002B2CF9AE}" pid="23" name="DH_Core_PreMigE">
    <vt:lpwstr>Brown, Frank</vt:lpwstr>
  </property>
</Properties>
</file>