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5" codeName="{00000000-0000-0000-0000-0000000000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nhsbsauk.sharepoint.com/teams/BIDM/Shared Documents/General/8. DMR Document Management Review Files/Requests and Reviews/2025 June to December/McCloud projects/250691/Format/"/>
    </mc:Choice>
  </mc:AlternateContent>
  <xr:revisionPtr revIDLastSave="109" documentId="8_{69C950BA-66E3-4C15-81B2-1A82C3D79F21}" xr6:coauthVersionLast="47" xr6:coauthVersionMax="47" xr10:uidLastSave="{A35853C6-BD2F-4B31-ADC5-FEF21034FAD3}"/>
  <workbookProtection workbookAlgorithmName="SHA-512" workbookHashValue="nhOTHOaKrntu2xw6OpYKrxhlC/BYgpNY6hnEI2iEufQH5b8ecUXRjewFb9Ud1ypyZzjdOkCzzrmi8uSglyb5UA==" workbookSaltValue="hAVCt9jLfb0Zs9aFXVBbvw==" workbookSpinCount="100000" lockStructure="1"/>
  <bookViews>
    <workbookView xWindow="-120" yWindow="-120" windowWidth="29040" windowHeight="15720" xr2:uid="{CDBE15FF-A30A-4413-A6BC-3AD30F84C677}"/>
  </bookViews>
  <sheets>
    <sheet name="Officer" sheetId="1" r:id="rId1"/>
    <sheet name="Sheet1" sheetId="3" state="hidden" r:id="rId2"/>
    <sheet name="Sheet2" sheetId="2" state="hidden" r:id="rId3"/>
  </sheets>
  <definedNames>
    <definedName name="_xlnm.Print_Area" localSheetId="0">Officer!$A$1:$I$39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3" l="1"/>
  <c r="D3" i="3"/>
  <c r="E3" i="3"/>
  <c r="F3" i="3"/>
  <c r="G3" i="3"/>
  <c r="H3" i="3"/>
  <c r="I3" i="3"/>
  <c r="J3" i="3" s="1"/>
  <c r="K3" i="3"/>
  <c r="L3" i="3"/>
  <c r="M3" i="3"/>
  <c r="N3" i="3"/>
  <c r="O3" i="3"/>
  <c r="P3" i="3"/>
  <c r="C4" i="3"/>
  <c r="D4" i="3"/>
  <c r="E4" i="3"/>
  <c r="F4" i="3"/>
  <c r="G4" i="3"/>
  <c r="H4" i="3" s="1"/>
  <c r="I4" i="3"/>
  <c r="J4" i="3"/>
  <c r="K4" i="3"/>
  <c r="L4" i="3"/>
  <c r="M4" i="3"/>
  <c r="N4" i="3"/>
  <c r="O4" i="3"/>
  <c r="P4" i="3"/>
  <c r="C5" i="3"/>
  <c r="D5" i="3"/>
  <c r="E5" i="3"/>
  <c r="F5" i="3" s="1"/>
  <c r="G5" i="3"/>
  <c r="H5" i="3"/>
  <c r="I5" i="3"/>
  <c r="J5" i="3"/>
  <c r="K5" i="3"/>
  <c r="L5" i="3"/>
  <c r="M5" i="3"/>
  <c r="N5" i="3"/>
  <c r="O5" i="3"/>
  <c r="P5" i="3"/>
  <c r="C6" i="3"/>
  <c r="D6" i="3" s="1"/>
  <c r="E6" i="3"/>
  <c r="F6" i="3"/>
  <c r="G6" i="3"/>
  <c r="H6" i="3"/>
  <c r="I6" i="3"/>
  <c r="J6" i="3"/>
  <c r="K6" i="3"/>
  <c r="L6" i="3"/>
  <c r="M6" i="3"/>
  <c r="N6" i="3"/>
  <c r="O6" i="3"/>
  <c r="P6" i="3" s="1"/>
  <c r="C42" i="1" l="1"/>
  <c r="B42" i="1"/>
  <c r="D21" i="1"/>
  <c r="D22" i="1" s="1"/>
  <c r="E21" i="1"/>
  <c r="E22" i="1" s="1"/>
  <c r="F21" i="1"/>
  <c r="F22" i="1" s="1"/>
  <c r="G21" i="1"/>
  <c r="G22" i="1" s="1"/>
  <c r="H21" i="1"/>
  <c r="H22" i="1" s="1"/>
  <c r="I21" i="1"/>
  <c r="I22" i="1" s="1"/>
  <c r="C21" i="1"/>
  <c r="C22" i="1" s="1"/>
  <c r="D13" i="1"/>
  <c r="E13" i="1"/>
  <c r="F13" i="1"/>
  <c r="G13" i="1"/>
  <c r="H13" i="1"/>
  <c r="I13" i="1"/>
  <c r="C13" i="1"/>
  <c r="O11" i="3" l="1"/>
  <c r="P11" i="3" s="1"/>
  <c r="M11" i="3"/>
  <c r="N11" i="3" s="1"/>
  <c r="K11" i="3"/>
  <c r="L11" i="3" s="1"/>
  <c r="I11" i="3"/>
  <c r="J11" i="3" s="1"/>
  <c r="G11" i="3"/>
  <c r="H11" i="3" s="1"/>
  <c r="E11" i="3"/>
  <c r="F11" i="3" s="1"/>
  <c r="C11" i="3"/>
  <c r="D11" i="3" s="1"/>
  <c r="O10" i="3"/>
  <c r="P10" i="3" s="1"/>
  <c r="M10" i="3"/>
  <c r="N10" i="3" s="1"/>
  <c r="K10" i="3"/>
  <c r="L10" i="3" s="1"/>
  <c r="I10" i="3"/>
  <c r="J10" i="3" s="1"/>
  <c r="G10" i="3"/>
  <c r="H10" i="3" s="1"/>
  <c r="E10" i="3"/>
  <c r="F10" i="3" s="1"/>
  <c r="C10" i="3"/>
  <c r="D10" i="3" s="1"/>
  <c r="O9" i="3"/>
  <c r="P9" i="3" s="1"/>
  <c r="M9" i="3"/>
  <c r="N9" i="3" s="1"/>
  <c r="K9" i="3"/>
  <c r="L9" i="3" s="1"/>
  <c r="I9" i="3"/>
  <c r="J9" i="3" s="1"/>
  <c r="G9" i="3"/>
  <c r="H9" i="3" s="1"/>
  <c r="E9" i="3"/>
  <c r="F9" i="3" s="1"/>
  <c r="C9" i="3"/>
  <c r="D9" i="3" s="1"/>
  <c r="O8" i="3"/>
  <c r="P8" i="3" s="1"/>
  <c r="M8" i="3"/>
  <c r="N8" i="3" s="1"/>
  <c r="K8" i="3"/>
  <c r="L8" i="3" s="1"/>
  <c r="I8" i="3"/>
  <c r="J8" i="3" s="1"/>
  <c r="G8" i="3"/>
  <c r="H8" i="3" s="1"/>
  <c r="E8" i="3"/>
  <c r="F8" i="3" s="1"/>
  <c r="C8" i="3"/>
  <c r="D8" i="3" s="1"/>
  <c r="O7" i="3"/>
  <c r="P7" i="3" s="1"/>
  <c r="M7" i="3"/>
  <c r="N7" i="3" s="1"/>
  <c r="K7" i="3"/>
  <c r="L7" i="3" s="1"/>
  <c r="I7" i="3"/>
  <c r="J7" i="3" s="1"/>
  <c r="G7" i="3"/>
  <c r="H7" i="3" s="1"/>
  <c r="E7" i="3"/>
  <c r="F7" i="3" s="1"/>
  <c r="C7" i="3"/>
  <c r="D7" i="3" s="1"/>
  <c r="Q1" i="3"/>
  <c r="R1" i="3" l="1"/>
  <c r="O2" i="3" s="1"/>
  <c r="P2" i="3" l="1"/>
  <c r="K2" i="3"/>
  <c r="M2" i="3"/>
  <c r="G2" i="3"/>
  <c r="I2" i="3"/>
  <c r="C2" i="3"/>
  <c r="D2" i="3" s="1"/>
  <c r="E2" i="3"/>
  <c r="I16" i="1"/>
  <c r="H16" i="1"/>
  <c r="G16" i="1"/>
  <c r="F16" i="1"/>
  <c r="E16" i="1"/>
  <c r="D16" i="1"/>
  <c r="F2" i="3" l="1"/>
  <c r="J2" i="3"/>
  <c r="H2" i="3"/>
  <c r="N2" i="3"/>
  <c r="L2" i="3"/>
  <c r="C16" i="1"/>
  <c r="D14" i="1" l="1"/>
  <c r="E14" i="1"/>
  <c r="F14" i="1"/>
  <c r="G14" i="1"/>
  <c r="H14" i="1"/>
  <c r="I14" i="1"/>
  <c r="C14" i="1"/>
  <c r="B17" i="1" l="1"/>
  <c r="B15" i="1"/>
  <c r="B18" i="1" l="1"/>
  <c r="B19" i="1" s="1"/>
  <c r="G17" i="1" l="1"/>
  <c r="G20" i="1" s="1"/>
  <c r="E17" i="1"/>
  <c r="E20" i="1" s="1"/>
  <c r="F17" i="1"/>
  <c r="F20" i="1" s="1"/>
  <c r="H17" i="1"/>
  <c r="H20" i="1" s="1"/>
  <c r="I17" i="1"/>
  <c r="I20" i="1" s="1"/>
  <c r="D17" i="1"/>
  <c r="D20" i="1" s="1"/>
  <c r="C17" i="1"/>
  <c r="D15" i="1"/>
  <c r="E15" i="1"/>
  <c r="F15" i="1"/>
  <c r="G15" i="1"/>
  <c r="H15" i="1"/>
  <c r="I15" i="1"/>
  <c r="C15" i="1"/>
  <c r="G18" i="1" l="1"/>
  <c r="C20" i="1"/>
  <c r="C41" i="1" s="1"/>
  <c r="Q1" i="2"/>
  <c r="O12" i="3" l="1"/>
  <c r="P12" i="3" s="1"/>
  <c r="O20" i="3"/>
  <c r="P20" i="3" s="1"/>
  <c r="O15" i="3"/>
  <c r="P15" i="3" s="1"/>
  <c r="O17" i="3"/>
  <c r="P17" i="3" s="1"/>
  <c r="O19" i="3"/>
  <c r="P19" i="3" s="1"/>
  <c r="O13" i="3"/>
  <c r="P13" i="3" s="1"/>
  <c r="O18" i="3"/>
  <c r="P18" i="3" s="1"/>
  <c r="O14" i="3"/>
  <c r="P14" i="3" s="1"/>
  <c r="O16" i="3"/>
  <c r="P16" i="3" s="1"/>
  <c r="M12" i="3"/>
  <c r="N12" i="3" s="1"/>
  <c r="M20" i="3"/>
  <c r="N20" i="3" s="1"/>
  <c r="M13" i="3"/>
  <c r="N13" i="3" s="1"/>
  <c r="M15" i="3"/>
  <c r="N15" i="3" s="1"/>
  <c r="M14" i="3"/>
  <c r="N14" i="3" s="1"/>
  <c r="M17" i="3"/>
  <c r="N17" i="3" s="1"/>
  <c r="M18" i="3"/>
  <c r="N18" i="3" s="1"/>
  <c r="M16" i="3"/>
  <c r="N16" i="3" s="1"/>
  <c r="M19" i="3"/>
  <c r="N19" i="3" s="1"/>
  <c r="K12" i="3"/>
  <c r="L12" i="3" s="1"/>
  <c r="K20" i="3"/>
  <c r="L20" i="3" s="1"/>
  <c r="K15" i="3"/>
  <c r="L15" i="3" s="1"/>
  <c r="K17" i="3"/>
  <c r="L17" i="3" s="1"/>
  <c r="K13" i="3"/>
  <c r="L13" i="3" s="1"/>
  <c r="K16" i="3"/>
  <c r="L16" i="3" s="1"/>
  <c r="K19" i="3"/>
  <c r="L19" i="3" s="1"/>
  <c r="K14" i="3"/>
  <c r="L14" i="3" s="1"/>
  <c r="K18" i="3"/>
  <c r="L18" i="3" s="1"/>
  <c r="I18" i="3"/>
  <c r="J18" i="3" s="1"/>
  <c r="I19" i="3"/>
  <c r="J19" i="3" s="1"/>
  <c r="I20" i="3"/>
  <c r="J20" i="3" s="1"/>
  <c r="I15" i="3"/>
  <c r="J15" i="3" s="1"/>
  <c r="I12" i="3"/>
  <c r="J12" i="3" s="1"/>
  <c r="I13" i="3"/>
  <c r="J13" i="3" s="1"/>
  <c r="I14" i="3"/>
  <c r="J14" i="3" s="1"/>
  <c r="I16" i="3"/>
  <c r="J16" i="3" s="1"/>
  <c r="I17" i="3"/>
  <c r="J17" i="3" s="1"/>
  <c r="G16" i="3"/>
  <c r="H16" i="3" s="1"/>
  <c r="G20" i="3"/>
  <c r="H20" i="3" s="1"/>
  <c r="G15" i="3"/>
  <c r="H15" i="3" s="1"/>
  <c r="G17" i="3"/>
  <c r="H17" i="3" s="1"/>
  <c r="G12" i="3"/>
  <c r="H12" i="3" s="1"/>
  <c r="G13" i="3"/>
  <c r="H13" i="3" s="1"/>
  <c r="G14" i="3"/>
  <c r="H14" i="3" s="1"/>
  <c r="G18" i="3"/>
  <c r="H18" i="3" s="1"/>
  <c r="G19" i="3"/>
  <c r="H19" i="3" s="1"/>
  <c r="E15" i="3"/>
  <c r="F15" i="3" s="1"/>
  <c r="E18" i="3"/>
  <c r="F18" i="3" s="1"/>
  <c r="E20" i="3"/>
  <c r="F20" i="3" s="1"/>
  <c r="E16" i="3"/>
  <c r="F16" i="3" s="1"/>
  <c r="E19" i="3"/>
  <c r="F19" i="3" s="1"/>
  <c r="E12" i="3"/>
  <c r="F12" i="3" s="1"/>
  <c r="E17" i="3"/>
  <c r="F17" i="3" s="1"/>
  <c r="E13" i="3"/>
  <c r="F13" i="3" s="1"/>
  <c r="E14" i="3"/>
  <c r="F14" i="3" s="1"/>
  <c r="C14" i="3"/>
  <c r="D14" i="3" s="1"/>
  <c r="C15" i="3"/>
  <c r="D15" i="3" s="1"/>
  <c r="C16" i="3"/>
  <c r="D16" i="3" s="1"/>
  <c r="C20" i="3"/>
  <c r="D20" i="3" s="1"/>
  <c r="C17" i="3"/>
  <c r="D17" i="3" s="1"/>
  <c r="C19" i="3"/>
  <c r="D19" i="3" s="1"/>
  <c r="C12" i="3"/>
  <c r="D12" i="3" s="1"/>
  <c r="C18" i="3"/>
  <c r="D18" i="3" s="1"/>
  <c r="C13" i="3"/>
  <c r="D13" i="3" s="1"/>
  <c r="B41" i="1"/>
  <c r="R1" i="2"/>
  <c r="D18" i="1"/>
  <c r="H18" i="1"/>
  <c r="I18" i="1"/>
  <c r="E18" i="1"/>
  <c r="F18" i="1"/>
  <c r="C18" i="1"/>
  <c r="P21" i="3" l="1"/>
  <c r="I23" i="1" s="1"/>
  <c r="N21" i="3"/>
  <c r="H23" i="1" s="1"/>
  <c r="L21" i="3"/>
  <c r="G23" i="1" s="1"/>
  <c r="J21" i="3"/>
  <c r="F23" i="1" s="1"/>
  <c r="H21" i="3"/>
  <c r="E23" i="1" s="1"/>
  <c r="F21" i="3"/>
  <c r="D23" i="1" s="1"/>
  <c r="D21" i="3"/>
  <c r="C23" i="1" s="1"/>
  <c r="E24" i="1"/>
  <c r="F24" i="1"/>
  <c r="G24" i="1"/>
  <c r="I24" i="1"/>
  <c r="H24" i="1"/>
  <c r="C24" i="1"/>
  <c r="D24" i="1"/>
  <c r="D19" i="1"/>
  <c r="G35" i="1"/>
  <c r="G19" i="1"/>
  <c r="F19" i="1"/>
  <c r="H19" i="1"/>
  <c r="C19" i="1"/>
  <c r="E19" i="1"/>
  <c r="I19" i="1"/>
  <c r="F35" i="1"/>
  <c r="H35" i="1"/>
  <c r="I35" i="1"/>
  <c r="E35" i="1"/>
  <c r="D35" i="1"/>
  <c r="C35" i="1"/>
  <c r="I26" i="1" l="1"/>
  <c r="I28" i="1" s="1"/>
  <c r="I29" i="1" s="1"/>
  <c r="I30" i="1" s="1"/>
  <c r="G26" i="1"/>
  <c r="G28" i="1" s="1"/>
  <c r="G29" i="1" s="1"/>
  <c r="G30" i="1" s="1"/>
  <c r="H26" i="1"/>
  <c r="H28" i="1" s="1"/>
  <c r="H29" i="1" s="1"/>
  <c r="H30" i="1" s="1"/>
  <c r="F26" i="1"/>
  <c r="F28" i="1" s="1"/>
  <c r="F29" i="1" s="1"/>
  <c r="F30" i="1" s="1"/>
  <c r="E26" i="1"/>
  <c r="E28" i="1" s="1"/>
  <c r="D26" i="1"/>
  <c r="D28" i="1" s="1"/>
  <c r="C26" i="1"/>
  <c r="C28" i="1" s="1"/>
  <c r="C29" i="1" s="1"/>
  <c r="C30" i="1" s="1"/>
  <c r="G31" i="1" l="1"/>
  <c r="G32" i="1" s="1"/>
  <c r="G33" i="1" s="1"/>
  <c r="G34" i="1" s="1"/>
  <c r="D29" i="1"/>
  <c r="D30" i="1" s="1"/>
  <c r="D31" i="1" s="1"/>
  <c r="D32" i="1" s="1"/>
  <c r="D33" i="1" s="1"/>
  <c r="D34" i="1" s="1"/>
  <c r="H31" i="1"/>
  <c r="I31" i="1"/>
  <c r="E29" i="1"/>
  <c r="E30" i="1" s="1"/>
  <c r="E31" i="1" s="1"/>
  <c r="E32" i="1" s="1"/>
  <c r="E33" i="1" s="1"/>
  <c r="E34" i="1" s="1"/>
  <c r="C31" i="1"/>
  <c r="C32" i="1" s="1"/>
  <c r="C33" i="1" s="1"/>
  <c r="C34" i="1" s="1"/>
  <c r="I32" i="1" l="1"/>
  <c r="I33" i="1" s="1"/>
  <c r="I34" i="1" s="1"/>
  <c r="F31" i="1"/>
  <c r="F32" i="1" s="1"/>
  <c r="F33" i="1" s="1"/>
  <c r="F34" i="1" s="1"/>
  <c r="H32" i="1"/>
  <c r="H33" i="1" s="1"/>
  <c r="H34" i="1" s="1"/>
  <c r="C38" i="1" l="1"/>
  <c r="C37" i="1"/>
  <c r="C39" i="1" l="1"/>
</calcChain>
</file>

<file path=xl/sharedStrings.xml><?xml version="1.0" encoding="utf-8"?>
<sst xmlns="http://schemas.openxmlformats.org/spreadsheetml/2006/main" count="85" uniqueCount="65">
  <si>
    <t>Buy back cost calculator - employed members and retired practitioners living in Scotland</t>
  </si>
  <si>
    <t>Scheme year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</si>
  <si>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</si>
  <si>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</si>
  <si>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</si>
  <si>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</si>
  <si>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</si>
  <si>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</si>
  <si>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</si>
  <si>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</si>
  <si>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Dates employed during scheme year                       From</t>
  </si>
  <si>
    <t xml:space="preserve">to       </t>
  </si>
  <si>
    <t>Buy back period (number of whole months)</t>
  </si>
  <si>
    <t>N/A</t>
  </si>
  <si>
    <t>Total pensionable pay (actual pensionable earnings)</t>
  </si>
  <si>
    <t>Total taxable pay (all employments)</t>
  </si>
  <si>
    <t>Whole or part time</t>
  </si>
  <si>
    <t>Whole</t>
  </si>
  <si>
    <t>Number of hours per week (if part time)</t>
  </si>
  <si>
    <t>Standard whole time hours per week (if part time)</t>
  </si>
  <si>
    <t>Error indicator (1)</t>
  </si>
  <si>
    <t>Error indicator (2)</t>
  </si>
  <si>
    <t>Percentage hours</t>
  </si>
  <si>
    <t>Tax relief applied</t>
  </si>
  <si>
    <t>Worked days</t>
  </si>
  <si>
    <t>Annual whole time equivalent pay</t>
  </si>
  <si>
    <t>Contribution rate</t>
  </si>
  <si>
    <t>Date check</t>
  </si>
  <si>
    <t>Start date plus months</t>
  </si>
  <si>
    <t>Mid point from scheme year employed</t>
  </si>
  <si>
    <t>Average interest rate from mid point</t>
  </si>
  <si>
    <t>Days interest</t>
  </si>
  <si>
    <t>Gross underpayment</t>
  </si>
  <si>
    <t>Total pensionable pay - Gross overpayment</t>
  </si>
  <si>
    <t>Lower tax rate</t>
  </si>
  <si>
    <t>Amount at higher rate</t>
  </si>
  <si>
    <t>Amount at lower rate</t>
  </si>
  <si>
    <t>Tax</t>
  </si>
  <si>
    <t>Net underpayment</t>
  </si>
  <si>
    <t>Interest</t>
  </si>
  <si>
    <t>Employer contribution</t>
  </si>
  <si>
    <t>Net cost to buy back opted out service</t>
  </si>
  <si>
    <t>Total</t>
  </si>
  <si>
    <t>Effective from</t>
  </si>
  <si>
    <t>NS&amp;I Rate</t>
  </si>
  <si>
    <t>2015/16 Days</t>
  </si>
  <si>
    <t>2015/16 Rate</t>
  </si>
  <si>
    <t>2016/17 Days</t>
  </si>
  <si>
    <t>2016/17 Rate</t>
  </si>
  <si>
    <t>2017/18 Days</t>
  </si>
  <si>
    <t>2017/18 Rate</t>
  </si>
  <si>
    <t>2018/19 Days</t>
  </si>
  <si>
    <t>2018/19 Rate</t>
  </si>
  <si>
    <t>2019/20 Days</t>
  </si>
  <si>
    <t>2019/20 Rate</t>
  </si>
  <si>
    <t>2020/21 Days</t>
  </si>
  <si>
    <t>2020/21 Rate</t>
  </si>
  <si>
    <t>2021/22 Days</t>
  </si>
  <si>
    <t>2021/22 Rate</t>
  </si>
  <si>
    <t>Tier</t>
  </si>
  <si>
    <t xml:space="preserve">Lower Pay </t>
  </si>
  <si>
    <t>Upper Pay</t>
  </si>
  <si>
    <t>Rate</t>
  </si>
  <si>
    <t>Employer Rate</t>
  </si>
  <si>
    <t>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</si>
</sst>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£&quot;#,##0.00"/>
    <numFmt numFmtId="165" formatCode="0.0000"/>
    <numFmt numFmtId="166" formatCode="0.00000"/>
    <numFmt numFmtId="167" formatCode="0.000"/>
    <numFmt numFmtId="168" formatCode="0.0000000"/>
  </numFmts>
  <fonts count="5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1"/>
      <color rgb="FF000000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10" fontId="0" fillId="0" borderId="0" xfId="0" applyNumberForma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1" fontId="2" fillId="0" borderId="0" xfId="0" applyNumberFormat="1" applyFont="1" applyAlignment="1">
      <alignment vertical="center"/>
    </xf>
    <xf numFmtId="14" fontId="0" fillId="0" borderId="0" xfId="0" applyNumberFormat="1"/>
    <xf numFmtId="0" fontId="2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wrapText="1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vertical="center" wrapText="1"/>
    </xf>
    <xf numFmtId="165" fontId="2" fillId="0" borderId="0" xfId="0" applyNumberFormat="1" applyFont="1" applyAlignment="1">
      <alignment vertical="center" wrapText="1"/>
    </xf>
    <xf numFmtId="1" fontId="2" fillId="0" borderId="0" xfId="0" applyNumberFormat="1" applyFont="1" applyAlignment="1">
      <alignment vertical="center" wrapText="1"/>
    </xf>
    <xf numFmtId="166" fontId="0" fillId="0" borderId="0" xfId="0" applyNumberFormat="1"/>
    <xf numFmtId="165" fontId="0" fillId="0" borderId="0" xfId="0" applyNumberFormat="1" applyAlignment="1">
      <alignment vertical="center" wrapText="1"/>
    </xf>
    <xf numFmtId="167" fontId="0" fillId="0" borderId="0" xfId="0" applyNumberFormat="1"/>
    <xf numFmtId="14" fontId="0" fillId="0" borderId="0" xfId="0" applyNumberFormat="1" applyAlignment="1">
      <alignment horizontal="right" wrapText="1"/>
    </xf>
    <xf numFmtId="165" fontId="2" fillId="0" borderId="0" xfId="0" applyNumberFormat="1" applyFont="1" applyAlignment="1">
      <alignment horizontal="right" wrapText="1"/>
    </xf>
    <xf numFmtId="0" fontId="3" fillId="0" borderId="0" xfId="0" applyFont="1" applyAlignment="1">
      <alignment horizontal="left"/>
    </xf>
    <xf numFmtId="14" fontId="3" fillId="2" borderId="0" xfId="0" applyNumberFormat="1" applyFont="1" applyFill="1"/>
    <xf numFmtId="0" fontId="3" fillId="2" borderId="0" xfId="0" applyFont="1" applyFill="1" applyAlignment="1">
      <alignment horizontal="left"/>
    </xf>
    <xf numFmtId="168" fontId="3" fillId="2" borderId="0" xfId="0" applyNumberFormat="1" applyFont="1" applyFill="1"/>
    <xf numFmtId="0" fontId="3" fillId="2" borderId="0" xfId="0" applyFont="1" applyFill="1"/>
    <xf numFmtId="164" fontId="3" fillId="0" borderId="0" xfId="0" applyNumberFormat="1" applyFont="1"/>
    <xf numFmtId="0" fontId="4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 applyProtection="1">
      <alignment horizontal="right"/>
      <protection locked="0"/>
    </xf>
    <xf numFmtId="0" fontId="3" fillId="0" borderId="0" xfId="0" applyFont="1" applyAlignment="1">
      <alignment horizontal="right" vertical="top" wrapText="1"/>
    </xf>
    <xf numFmtId="164" fontId="3" fillId="0" borderId="0" xfId="0" applyNumberFormat="1" applyFont="1" applyAlignment="1">
      <alignment horizontal="right"/>
    </xf>
    <xf numFmtId="0" fontId="3" fillId="0" borderId="0" xfId="0" applyFont="1" applyAlignment="1" applyProtection="1">
      <alignment horizontal="right"/>
      <protection locked="0"/>
    </xf>
    <xf numFmtId="164" fontId="3" fillId="0" borderId="0" xfId="0" applyNumberFormat="1" applyFont="1" applyAlignment="1" applyProtection="1">
      <alignment horizontal="right"/>
      <protection locked="0"/>
    </xf>
    <xf numFmtId="0" fontId="3" fillId="0" borderId="0" xfId="0" applyFont="1" applyAlignment="1">
      <alignment horizontal="right"/>
    </xf>
    <xf numFmtId="164" fontId="3" fillId="2" borderId="0" xfId="0" applyNumberFormat="1" applyFont="1" applyFill="1" applyAlignment="1">
      <alignment horizontal="right"/>
    </xf>
    <xf numFmtId="10" fontId="3" fillId="2" borderId="0" xfId="0" applyNumberFormat="1" applyFont="1" applyFill="1"/>
    <xf numFmtId="2" fontId="3" fillId="0" borderId="0" xfId="0" applyNumberFormat="1" applyFont="1"/>
    <xf numFmtId="10" fontId="3" fillId="0" borderId="0" xfId="0" applyNumberFormat="1" applyFont="1"/>
    <xf numFmtId="2" fontId="3" fillId="2" borderId="0" xfId="0" applyNumberFormat="1" applyFont="1" applyFill="1"/>
    <xf numFmtId="164" fontId="3" fillId="2" borderId="0" xfId="0" applyNumberFormat="1" applyFont="1" applyFill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right"/>
    </xf>
    <xf numFmtId="164" fontId="3" fillId="0" borderId="1" xfId="0" applyNumberFormat="1" applyFont="1" applyBorder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1114425</xdr:colOff>
          <xdr:row>37</xdr:row>
          <xdr:rowOff>28575</xdr:rowOff>
        </xdr:from>
        <xdr:to>
          <xdr:col>6</xdr:col>
          <xdr:colOff>38100</xdr:colOff>
          <xdr:row>38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Clear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5E3EE-A099-44F9-9BF9-56224B4FD270}">
  <sheetPr codeName="Sheet1">
    <pageSetUpPr fitToPage="1"/>
  </sheetPr>
  <dimension ref="A1:J42"/>
  <sheetViews>
    <sheetView tabSelected="1" zoomScaleNormal="100" workbookViewId="0">
      <selection activeCell="I11" sqref="I11"/>
    </sheetView>
  </sheetViews>
  <sheetFormatPr defaultColWidth="8.7109375" defaultRowHeight="15"/>
  <cols>
    <col min="1" max="1" width="50.5703125" style="26" customWidth="1"/>
    <col min="2" max="2" width="16.7109375" style="26" customWidth="1"/>
    <col min="3" max="3" width="14.42578125" style="26" customWidth="1"/>
    <col min="4" max="4" width="18.140625" style="26" customWidth="1"/>
    <col min="5" max="5" width="16.28515625" style="26" customWidth="1"/>
    <col min="6" max="6" width="18" style="26" customWidth="1"/>
    <col min="7" max="7" width="14.85546875" style="26" customWidth="1"/>
    <col min="8" max="8" width="17.42578125" style="26" customWidth="1"/>
    <col min="9" max="9" width="17.5703125" style="26" customWidth="1"/>
    <col min="10" max="10" width="35.140625" style="26" customWidth="1"/>
    <col min="11" max="16384" width="8.7109375" style="26"/>
  </cols>
  <sheetData>
    <row r="1" spans="1:10" ht="15.75">
      <c r="A1" s="25" t="s">
        <v>0</v>
      </c>
      <c r="B1" s="25"/>
    </row>
    <row r="2" spans="1:10" ht="15.75">
      <c r="B2" s="45" t="s">
        <v>1</v>
      </c>
      <c r="C2" s="45"/>
      <c r="D2" s="45"/>
      <c r="E2" s="45"/>
      <c r="F2" s="45"/>
      <c r="G2" s="45"/>
      <c r="H2" s="45"/>
      <c r="I2" s="45"/>
    </row>
    <row r="3" spans="1:10" ht="15.75">
      <c r="B3" s="27" t="s">
        <v>2</v>
      </c>
      <c r="C3" s="27" t="s">
        <v>3</v>
      </c>
      <c r="D3" s="27" t="s">
        <v>4</v>
      </c>
      <c r="E3" s="27" t="s">
        <v>5</v>
      </c>
      <c r="F3" s="27" t="s">
        <v>6</v>
      </c>
      <c r="G3" s="27" t="s">
        <v>7</v>
      </c>
      <c r="H3" s="27" t="s">
        <v>8</v>
      </c>
      <c r="I3" s="27" t="s">
        <v>9</v>
      </c>
      <c r="J3" s="27"/>
    </row>
    <row r="4" spans="1:10" ht="14.45" customHeight="1">
      <c r="A4" s="28" t="s">
        <v>10</v>
      </c>
      <c r="B4" s="29">
        <v>41730</v>
      </c>
      <c r="C4" s="29">
        <v>42095</v>
      </c>
      <c r="D4" s="29">
        <v>42461</v>
      </c>
      <c r="E4" s="29">
        <v>42826</v>
      </c>
      <c r="F4" s="29">
        <v>43191</v>
      </c>
      <c r="G4" s="29">
        <v>43556</v>
      </c>
      <c r="H4" s="29">
        <v>43922</v>
      </c>
      <c r="I4" s="29">
        <v>44287</v>
      </c>
    </row>
    <row r="5" spans="1:10">
      <c r="A5" s="30" t="s">
        <v>11</v>
      </c>
      <c r="B5" s="29">
        <v>42094</v>
      </c>
      <c r="C5" s="29">
        <v>42460</v>
      </c>
      <c r="D5" s="29">
        <v>42825</v>
      </c>
      <c r="E5" s="29">
        <v>43190</v>
      </c>
      <c r="F5" s="29">
        <v>43555</v>
      </c>
      <c r="G5" s="29">
        <v>43921</v>
      </c>
      <c r="H5" s="29">
        <v>44286</v>
      </c>
      <c r="I5" s="29">
        <v>44651</v>
      </c>
    </row>
    <row r="6" spans="1:10">
      <c r="A6" s="19" t="s">
        <v>12</v>
      </c>
      <c r="B6" s="31" t="s">
        <v>13</v>
      </c>
      <c r="C6" s="32">
        <v>0</v>
      </c>
      <c r="D6" s="32">
        <v>0</v>
      </c>
      <c r="E6" s="32">
        <v>0</v>
      </c>
      <c r="F6" s="32">
        <v>0</v>
      </c>
      <c r="G6" s="32">
        <v>0</v>
      </c>
      <c r="H6" s="32">
        <v>0</v>
      </c>
      <c r="I6" s="32">
        <v>0</v>
      </c>
    </row>
    <row r="7" spans="1:10">
      <c r="A7" s="19" t="s">
        <v>14</v>
      </c>
      <c r="B7" s="33">
        <v>0</v>
      </c>
      <c r="C7" s="33">
        <v>0</v>
      </c>
      <c r="D7" s="33">
        <v>0</v>
      </c>
      <c r="E7" s="33">
        <v>0</v>
      </c>
      <c r="F7" s="33">
        <v>0</v>
      </c>
      <c r="G7" s="33">
        <v>0</v>
      </c>
      <c r="H7" s="33">
        <v>0</v>
      </c>
      <c r="I7" s="33">
        <v>0</v>
      </c>
    </row>
    <row r="8" spans="1:10">
      <c r="A8" s="19" t="s">
        <v>15</v>
      </c>
      <c r="B8" s="31" t="s">
        <v>13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  <c r="H8" s="33">
        <v>0</v>
      </c>
      <c r="I8" s="33">
        <v>0</v>
      </c>
    </row>
    <row r="9" spans="1:10">
      <c r="A9" s="19" t="s">
        <v>16</v>
      </c>
      <c r="B9" s="33" t="s">
        <v>17</v>
      </c>
      <c r="C9" s="32" t="s">
        <v>17</v>
      </c>
      <c r="D9" s="32" t="s">
        <v>17</v>
      </c>
      <c r="E9" s="32" t="s">
        <v>17</v>
      </c>
      <c r="F9" s="32" t="s">
        <v>17</v>
      </c>
      <c r="G9" s="32" t="s">
        <v>17</v>
      </c>
      <c r="H9" s="32" t="s">
        <v>17</v>
      </c>
      <c r="I9" s="32" t="s">
        <v>17</v>
      </c>
      <c r="J9" s="19"/>
    </row>
    <row r="10" spans="1:10">
      <c r="A10" s="19" t="s">
        <v>18</v>
      </c>
      <c r="B10" s="32">
        <v>0</v>
      </c>
      <c r="C10" s="32">
        <v>0</v>
      </c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</row>
    <row r="11" spans="1:10">
      <c r="A11" s="19" t="s">
        <v>19</v>
      </c>
      <c r="B11" s="32">
        <v>0</v>
      </c>
      <c r="C11" s="32">
        <v>0</v>
      </c>
      <c r="D11" s="32">
        <v>0</v>
      </c>
      <c r="E11" s="32">
        <v>0</v>
      </c>
      <c r="F11" s="32">
        <v>0</v>
      </c>
      <c r="G11" s="32">
        <v>0</v>
      </c>
      <c r="H11" s="32">
        <v>0</v>
      </c>
      <c r="I11" s="32">
        <v>0</v>
      </c>
    </row>
    <row r="12" spans="1:10">
      <c r="A12" s="19"/>
      <c r="B12" s="34"/>
      <c r="C12" s="34"/>
      <c r="D12" s="34"/>
      <c r="E12" s="34"/>
      <c r="F12" s="34"/>
      <c r="G12" s="34"/>
      <c r="H12" s="34"/>
      <c r="I12" s="34"/>
    </row>
    <row r="13" spans="1:10" hidden="1">
      <c r="A13" s="26" t="s">
        <v>20</v>
      </c>
      <c r="B13" s="35"/>
      <c r="C13" s="23">
        <f>IF(C7&gt;C8,"Error",0)</f>
        <v>0</v>
      </c>
      <c r="D13" s="23">
        <f t="shared" ref="D13:I13" si="0">IF(D7&gt;D8,"Error",0)</f>
        <v>0</v>
      </c>
      <c r="E13" s="23">
        <f t="shared" si="0"/>
        <v>0</v>
      </c>
      <c r="F13" s="23">
        <f t="shared" si="0"/>
        <v>0</v>
      </c>
      <c r="G13" s="23">
        <f t="shared" si="0"/>
        <v>0</v>
      </c>
      <c r="H13" s="23">
        <f t="shared" si="0"/>
        <v>0</v>
      </c>
      <c r="I13" s="23">
        <f t="shared" si="0"/>
        <v>0</v>
      </c>
    </row>
    <row r="14" spans="1:10" hidden="1">
      <c r="A14" s="26" t="s">
        <v>21</v>
      </c>
      <c r="B14" s="21"/>
      <c r="C14" s="23">
        <f>IF(C6&gt;0,IF(B7=0,"Error",0),0)</f>
        <v>0</v>
      </c>
      <c r="D14" s="23">
        <f t="shared" ref="D14:I14" si="1">IF(D6&gt;0,IF(C7=0,"Error",0),0)</f>
        <v>0</v>
      </c>
      <c r="E14" s="23">
        <f t="shared" si="1"/>
        <v>0</v>
      </c>
      <c r="F14" s="23">
        <f t="shared" si="1"/>
        <v>0</v>
      </c>
      <c r="G14" s="23">
        <f t="shared" si="1"/>
        <v>0</v>
      </c>
      <c r="H14" s="23">
        <f t="shared" si="1"/>
        <v>0</v>
      </c>
      <c r="I14" s="23">
        <f t="shared" si="1"/>
        <v>0</v>
      </c>
    </row>
    <row r="15" spans="1:10" hidden="1">
      <c r="A15" s="26" t="s">
        <v>22</v>
      </c>
      <c r="B15" s="36">
        <f>IF(B9="Whole",1,IF(B10&lt;=B11,B10/B11,"Error"))</f>
        <v>1</v>
      </c>
      <c r="C15" s="36">
        <f>IF(C9="Whole",1,IF(C10&lt;=C11,C10/C11,"Error"))</f>
        <v>1</v>
      </c>
      <c r="D15" s="36">
        <f t="shared" ref="D15:I15" si="2">IF(D9="Whole",1,IF(D10&lt;=D11,D10/D11,"Error"))</f>
        <v>1</v>
      </c>
      <c r="E15" s="36">
        <f t="shared" si="2"/>
        <v>1</v>
      </c>
      <c r="F15" s="36">
        <f t="shared" si="2"/>
        <v>1</v>
      </c>
      <c r="G15" s="36">
        <f t="shared" si="2"/>
        <v>1</v>
      </c>
      <c r="H15" s="36">
        <f t="shared" si="2"/>
        <v>1</v>
      </c>
      <c r="I15" s="36">
        <f t="shared" si="2"/>
        <v>1</v>
      </c>
      <c r="J15" s="37"/>
    </row>
    <row r="16" spans="1:10">
      <c r="A16" s="26" t="s">
        <v>23</v>
      </c>
      <c r="B16" s="31" t="s">
        <v>13</v>
      </c>
      <c r="C16" s="38">
        <f>IF(C8&lt;=Sheet2!$K$2,Sheet2!$K$1,IF(C8&lt;=Sheet2!$L$2,Sheet2!$L$1,IF(C8&lt;=Sheet2!$M$2,Sheet2!$M$1,Sheet2!$N$1)))</f>
        <v>0</v>
      </c>
      <c r="D16" s="38">
        <f>IF(D8&lt;=Sheet2!$K$3,Sheet2!$K$1,IF(D8&lt;=Sheet2!$L$3,Sheet2!$L$1,IF(D8&lt;=Sheet2!$M$3,Sheet2!$M$1,Sheet2!$N$1)))</f>
        <v>0</v>
      </c>
      <c r="E16" s="38">
        <f>IF(E8&lt;=Sheet2!$K$4,Sheet2!$K$1,IF(E8&lt;=Sheet2!$L$4,Sheet2!$L$1,IF(E8&lt;=Sheet2!$M$4,Sheet2!$M$1,Sheet2!$N$1)))</f>
        <v>0</v>
      </c>
      <c r="F16" s="38">
        <f>IF(F8&lt;=Sheet2!$K$7,Sheet2!$K$6,IF(F8&lt;=Sheet2!$L$7,Sheet2!$L$6,IF(F8&lt;=Sheet2!$M$7,Sheet2!$M$6,IF(F8&lt;=Sheet2!$N$7,Sheet2!$N$6,IF(F8&lt;=Sheet2!$O$7,Sheet2!$O$6,Sheet2!$P$6)))))</f>
        <v>0</v>
      </c>
      <c r="G16" s="38">
        <f>IF(G8&lt;=Sheet2!$K$8,Sheet2!$K$6,IF(G8&lt;=Sheet2!$L$8,Sheet2!$L$6,IF(G8&lt;=Sheet2!$M$8,Sheet2!$M$6,IF(G8&lt;=Sheet2!$N$8,Sheet2!$N$6,IF(G8&lt;=Sheet2!$O$8,Sheet2!$O$6,Sheet2!$P$6)))))</f>
        <v>0</v>
      </c>
      <c r="H16" s="38">
        <f>IF(H8&lt;=Sheet2!$K$9,Sheet2!$K$6,IF(H8&lt;=Sheet2!$L$9,Sheet2!$L$6,IF(H8&lt;=Sheet2!$M$9,Sheet2!$M$6,IF(H8&lt;=Sheet2!$N$9,Sheet2!$N$6,IF(H8&lt;=Sheet2!$O$9,Sheet2!$O$6,Sheet2!$P$6)))))</f>
        <v>0</v>
      </c>
      <c r="I16" s="38">
        <f>IF(I8&lt;=Sheet2!$K$10,Sheet2!$K$6,IF(I8&lt;=Sheet2!$L$10,Sheet2!$L$6,IF(I8&lt;=Sheet2!$M$10,Sheet2!$M$6,IF(I8&lt;=Sheet2!$N$10,Sheet2!$N$6,IF(I8&lt;=Sheet2!$O$10,Sheet2!$O$6,Sheet2!$P$6)))))</f>
        <v>0</v>
      </c>
    </row>
    <row r="17" spans="1:9" hidden="1">
      <c r="A17" s="26" t="s">
        <v>24</v>
      </c>
      <c r="B17" s="23">
        <f>IF(B4&lt;=B5,(B5-B4)+1,"Error")</f>
        <v>365</v>
      </c>
      <c r="C17" s="23">
        <f>IF(C4&lt;=C5,C5-C4,"Error")</f>
        <v>365</v>
      </c>
      <c r="D17" s="23">
        <f>IF(D4&lt;=D5,(D5-D4)+1,"Error")</f>
        <v>365</v>
      </c>
      <c r="E17" s="23">
        <f>IF(E4&lt;=E5,(E5-E4)+1,"Error")</f>
        <v>365</v>
      </c>
      <c r="F17" s="23">
        <f>IF(F4&lt;=F5,(F5-F4)+1,"Error")</f>
        <v>365</v>
      </c>
      <c r="G17" s="23">
        <f>IF(G4&lt;=G5,G5-G4,"Error")</f>
        <v>365</v>
      </c>
      <c r="H17" s="23">
        <f>IF(H4&lt;=H5,(H5-H4)+1,"Error")</f>
        <v>365</v>
      </c>
      <c r="I17" s="23">
        <f>IF(I4&lt;=I5,(I5-I4)+1,"Error")</f>
        <v>365</v>
      </c>
    </row>
    <row r="18" spans="1:9" hidden="1">
      <c r="A18" s="26" t="s">
        <v>25</v>
      </c>
      <c r="B18" s="23">
        <f t="shared" ref="B18" si="3">B7*(100%/B15)*(365/B17)</f>
        <v>0</v>
      </c>
      <c r="C18" s="23">
        <f t="shared" ref="C18:I18" si="4">C7*(100%/C15)*(365/C17)</f>
        <v>0</v>
      </c>
      <c r="D18" s="23">
        <f t="shared" si="4"/>
        <v>0</v>
      </c>
      <c r="E18" s="23">
        <f t="shared" si="4"/>
        <v>0</v>
      </c>
      <c r="F18" s="39">
        <f t="shared" si="4"/>
        <v>0</v>
      </c>
      <c r="G18" s="39">
        <f t="shared" si="4"/>
        <v>0</v>
      </c>
      <c r="H18" s="23">
        <f t="shared" si="4"/>
        <v>0</v>
      </c>
      <c r="I18" s="39">
        <f t="shared" si="4"/>
        <v>0</v>
      </c>
    </row>
    <row r="19" spans="1:9" hidden="1">
      <c r="A19" s="26" t="s">
        <v>26</v>
      </c>
      <c r="B19" s="36">
        <f>IF(B18&lt;Sheet2!$E$3,Sheet2!$G$2,IF(B18&lt;Sheet2!$E$4,Sheet2!$G$3,IF(B18&lt;Sheet2!$E$5,Sheet2!$G$4,IF(B18&lt;Sheet2!$E$6,Sheet2!$G$5,IF(B18&lt;Sheet2!$E$7,Sheet2!$G$6,IF(B18&lt;Sheet2!$E$8,Sheet2!$G$7,Sheet2!$G$8))))))</f>
        <v>0.05</v>
      </c>
      <c r="C19" s="36">
        <f>IF(C18&lt;Sheet2!$E$3,Sheet2!$G$2,IF(C18&lt;Sheet2!$E$4,Sheet2!$G$3,IF(C18&lt;Sheet2!$E$5,Sheet2!$G$4,IF(C18&lt;Sheet2!$E$6,Sheet2!$G$5,IF(C18&lt;Sheet2!$E$7,Sheet2!$G$6,IF(C18&lt;Sheet2!$E$8,Sheet2!$G$7,Sheet2!$G$8))))))</f>
        <v>0.05</v>
      </c>
      <c r="D19" s="36">
        <f>IF(D18&lt;Sheet2!$E$3,Sheet2!$G$2,IF(D18&lt;Sheet2!$E$4,Sheet2!$G$3,IF(D18&lt;Sheet2!$E$5,Sheet2!$G$4,IF(D18&lt;Sheet2!$E$6,Sheet2!$G$5,IF(D18&lt;Sheet2!$E$7,Sheet2!$G$6,IF(D18&lt;Sheet2!$E$8,Sheet2!$G$7,Sheet2!$G$8))))))</f>
        <v>0.05</v>
      </c>
      <c r="E19" s="36">
        <f>IF(E18&lt;Sheet2!$E$3,Sheet2!$G$2,IF(E18&lt;Sheet2!$E$4,Sheet2!$G$3,IF(E18&lt;Sheet2!$E$5,Sheet2!$G$4,IF(E18&lt;Sheet2!$E$6,Sheet2!$G$5,IF(E18&lt;Sheet2!$E$7,Sheet2!$G$6,IF(E18&lt;Sheet2!$E$8,Sheet2!$G$7,Sheet2!$G$8))))))</f>
        <v>0.05</v>
      </c>
      <c r="F19" s="36">
        <f>IF(F18&lt;Sheet2!$E$3,Sheet2!$G$2,IF(F18&lt;Sheet2!$E$4,Sheet2!$G$3,IF(F18&lt;Sheet2!$E$5,Sheet2!$G$4,IF(F18&lt;Sheet2!$E$6,Sheet2!$G$5,IF(F18&lt;Sheet2!$E$7,Sheet2!$G$6,IF(F18&lt;Sheet2!$E$8,Sheet2!$G$7,Sheet2!$G$8))))))</f>
        <v>0.05</v>
      </c>
      <c r="G19" s="36">
        <f>IF(G18&lt;Sheet2!$E$3,Sheet2!$G$2,IF(G18&lt;Sheet2!$E$4,Sheet2!$G$3,IF(G18&lt;Sheet2!$E$5,Sheet2!$G$4,IF(G18&lt;Sheet2!$E$6,Sheet2!$G$5,IF(G18&lt;Sheet2!$E$7,Sheet2!$G$6,IF(G18&lt;Sheet2!$E$8,Sheet2!$G$7,Sheet2!$G$8))))))</f>
        <v>0.05</v>
      </c>
      <c r="H19" s="36">
        <f>IF(H18&lt;Sheet2!$E$3,Sheet2!$G$2,IF(H18&lt;Sheet2!$E$4,Sheet2!$G$3,IF(H18&lt;Sheet2!$E$5,Sheet2!$G$4,IF(H18&lt;Sheet2!$E$6,Sheet2!$G$5,IF(H18&lt;Sheet2!$E$7,Sheet2!$G$6,IF(H18&lt;Sheet2!$E$8,Sheet2!$G$7,Sheet2!$G$8))))))</f>
        <v>0.05</v>
      </c>
      <c r="I19" s="36">
        <f>IF(I18&lt;Sheet2!$E$3,Sheet2!$G$2,IF(I18&lt;Sheet2!$E$4,Sheet2!$G$3,IF(I18&lt;Sheet2!$E$5,Sheet2!$G$4,IF(I18&lt;Sheet2!$E$6,Sheet2!$G$5,IF(I18&lt;Sheet2!$E$7,Sheet2!$G$6,IF(I18&lt;Sheet2!$E$8,Sheet2!$G$7,Sheet2!$G$8))))))</f>
        <v>0.05</v>
      </c>
    </row>
    <row r="20" spans="1:9" hidden="1">
      <c r="A20" s="26" t="s">
        <v>27</v>
      </c>
      <c r="B20" s="36"/>
      <c r="C20" s="36" t="str">
        <f>IF(C6*30&gt;C17,"Error","")</f>
        <v/>
      </c>
      <c r="D20" s="36" t="str">
        <f t="shared" ref="D20:I20" si="5">IF(D6*30&gt;D17,"Error","")</f>
        <v/>
      </c>
      <c r="E20" s="36" t="str">
        <f t="shared" si="5"/>
        <v/>
      </c>
      <c r="F20" s="36" t="str">
        <f t="shared" si="5"/>
        <v/>
      </c>
      <c r="G20" s="36" t="str">
        <f t="shared" si="5"/>
        <v/>
      </c>
      <c r="H20" s="36" t="str">
        <f t="shared" si="5"/>
        <v/>
      </c>
      <c r="I20" s="36" t="str">
        <f t="shared" si="5"/>
        <v/>
      </c>
    </row>
    <row r="21" spans="1:9" hidden="1">
      <c r="A21" s="19" t="s">
        <v>28</v>
      </c>
      <c r="B21" s="21"/>
      <c r="C21" s="20">
        <f>EDATE(C4,C6)-1</f>
        <v>42094</v>
      </c>
      <c r="D21" s="20">
        <f t="shared" ref="D21:I21" si="6">EDATE(D4,D6)-1</f>
        <v>42460</v>
      </c>
      <c r="E21" s="20">
        <f t="shared" si="6"/>
        <v>42825</v>
      </c>
      <c r="F21" s="20">
        <f t="shared" si="6"/>
        <v>43190</v>
      </c>
      <c r="G21" s="20">
        <f t="shared" si="6"/>
        <v>43555</v>
      </c>
      <c r="H21" s="20">
        <f t="shared" si="6"/>
        <v>43921</v>
      </c>
      <c r="I21" s="20">
        <f t="shared" si="6"/>
        <v>44286</v>
      </c>
    </row>
    <row r="22" spans="1:9" hidden="1">
      <c r="A22" s="19" t="s">
        <v>29</v>
      </c>
      <c r="B22" s="21"/>
      <c r="C22" s="20">
        <f>IF(C6&lt;12,(C21-C4)/2+C4,(C5-C4)/2+C4)</f>
        <v>42094.5</v>
      </c>
      <c r="D22" s="20">
        <f>IF(D6&lt;12,(D21-D4)/2+D4,(D5-D4)/2+D4)</f>
        <v>42460.5</v>
      </c>
      <c r="E22" s="20">
        <f>IF(E6&lt;12,(E21-E4)/2+E4,(E5-E4)/2+E4)</f>
        <v>42825.5</v>
      </c>
      <c r="F22" s="20">
        <f t="shared" ref="F22:I22" si="7">IF(F6&lt;12,(F21-F4)/2+F4,(F5-F4)/2+F4)</f>
        <v>43190.5</v>
      </c>
      <c r="G22" s="20">
        <f t="shared" si="7"/>
        <v>43555.5</v>
      </c>
      <c r="H22" s="20">
        <f t="shared" si="7"/>
        <v>43921.5</v>
      </c>
      <c r="I22" s="20">
        <f t="shared" si="7"/>
        <v>44286.5</v>
      </c>
    </row>
    <row r="23" spans="1:9" hidden="1">
      <c r="A23" s="19" t="s">
        <v>30</v>
      </c>
      <c r="B23" s="21"/>
      <c r="C23" s="22">
        <f ca="1">Sheet1!D21</f>
        <v>1.1905990583047539</v>
      </c>
      <c r="D23" s="22">
        <f ca="1">Sheet1!F21</f>
        <v>1.1776361455540756</v>
      </c>
      <c r="E23" s="22">
        <f ca="1">Sheet1!H21</f>
        <v>1.1676642495350322</v>
      </c>
      <c r="F23" s="22">
        <f ca="1">Sheet1!J21</f>
        <v>1.1585087691220839</v>
      </c>
      <c r="G23" s="22">
        <f ca="1">Sheet1!L21</f>
        <v>1.1473315861509017</v>
      </c>
      <c r="H23" s="22">
        <f ca="1">Sheet1!N21</f>
        <v>1.1359486576600248</v>
      </c>
      <c r="I23" s="22">
        <f ca="1">Sheet1!P21</f>
        <v>1.1280323177305505</v>
      </c>
    </row>
    <row r="24" spans="1:9" hidden="1">
      <c r="A24" s="19" t="s">
        <v>31</v>
      </c>
      <c r="B24" s="21"/>
      <c r="C24" s="23">
        <f ca="1">_xlfn.DAYS(Sheet2!$R$1,C22)</f>
        <v>4021</v>
      </c>
      <c r="D24" s="23">
        <f ca="1">_xlfn.DAYS(Sheet2!$R$1,D22)</f>
        <v>3655</v>
      </c>
      <c r="E24" s="23">
        <f ca="1">_xlfn.DAYS(Sheet2!$R$1,E22)</f>
        <v>3290</v>
      </c>
      <c r="F24" s="23">
        <f ca="1">_xlfn.DAYS(Sheet2!$R$1,F22)</f>
        <v>2925</v>
      </c>
      <c r="G24" s="23">
        <f ca="1">_xlfn.DAYS(Sheet2!$R$1,G22)</f>
        <v>2560</v>
      </c>
      <c r="H24" s="23">
        <f ca="1">_xlfn.DAYS(Sheet2!$R$1,H22)</f>
        <v>2194</v>
      </c>
      <c r="I24" s="23">
        <f ca="1">_xlfn.DAYS(Sheet2!$R$1,I22)</f>
        <v>1829</v>
      </c>
    </row>
    <row r="25" spans="1:9" hidden="1">
      <c r="B25" s="23"/>
      <c r="C25" s="23"/>
      <c r="D25" s="23"/>
      <c r="E25" s="23"/>
      <c r="F25" s="23"/>
      <c r="G25" s="23"/>
      <c r="H25" s="23"/>
      <c r="I25" s="23"/>
    </row>
    <row r="26" spans="1:9" hidden="1">
      <c r="A26" s="19" t="s">
        <v>32</v>
      </c>
      <c r="B26" s="21"/>
      <c r="C26" s="40">
        <f>IF(B7=0,C18*(C6/12)*C15*C19,C18*(C6/12)*C15*B19)</f>
        <v>0</v>
      </c>
      <c r="D26" s="40">
        <f t="shared" ref="D26:I26" si="8">IF(C7=0,D18*(D6/12)*D15*D19,D18*(D6/12)*D15*C19)</f>
        <v>0</v>
      </c>
      <c r="E26" s="40">
        <f t="shared" si="8"/>
        <v>0</v>
      </c>
      <c r="F26" s="40">
        <f t="shared" si="8"/>
        <v>0</v>
      </c>
      <c r="G26" s="40">
        <f>IF(F7=0,G18*(G6/12)*G15*G19,G18*(G6/12)*G15*F19)</f>
        <v>0</v>
      </c>
      <c r="H26" s="40">
        <f t="shared" si="8"/>
        <v>0</v>
      </c>
      <c r="I26" s="40">
        <f t="shared" si="8"/>
        <v>0</v>
      </c>
    </row>
    <row r="27" spans="1:9" hidden="1">
      <c r="A27" s="19"/>
      <c r="B27" s="21"/>
      <c r="C27" s="40"/>
      <c r="D27" s="40"/>
      <c r="E27" s="40"/>
      <c r="F27" s="40"/>
      <c r="G27" s="40"/>
      <c r="H27" s="40"/>
      <c r="I27" s="40"/>
    </row>
    <row r="28" spans="1:9" hidden="1">
      <c r="A28" s="19" t="s">
        <v>33</v>
      </c>
      <c r="B28" s="21"/>
      <c r="C28" s="40">
        <f>C8-C26</f>
        <v>0</v>
      </c>
      <c r="D28" s="40">
        <f t="shared" ref="D28:I28" si="9">D8-D26</f>
        <v>0</v>
      </c>
      <c r="E28" s="40">
        <f t="shared" si="9"/>
        <v>0</v>
      </c>
      <c r="F28" s="40">
        <f t="shared" si="9"/>
        <v>0</v>
      </c>
      <c r="G28" s="40">
        <f t="shared" si="9"/>
        <v>0</v>
      </c>
      <c r="H28" s="40">
        <f t="shared" si="9"/>
        <v>0</v>
      </c>
      <c r="I28" s="40">
        <f t="shared" si="9"/>
        <v>0</v>
      </c>
    </row>
    <row r="29" spans="1:9" hidden="1">
      <c r="A29" s="19" t="s">
        <v>34</v>
      </c>
      <c r="B29" s="21"/>
      <c r="C29" s="36">
        <f>IF(C28&lt;=Sheet2!$K$2,Sheet2!$K$1,IF(C28&lt;=Sheet2!$L$2,Sheet2!$L$1,IF(C28&lt;=Sheet2!$M$2,Sheet2!$M$1,Sheet2!$N$1)))</f>
        <v>0</v>
      </c>
      <c r="D29" s="36">
        <f>IF(D28&lt;=Sheet2!$K$3,Sheet2!$K$1,IF(D28&lt;=Sheet2!$L$3,Sheet2!$L$1,IF(D28&lt;=Sheet2!$M$3,Sheet2!$M$1,Sheet2!$N$1)))</f>
        <v>0</v>
      </c>
      <c r="E29" s="36">
        <f>IF(E28&lt;=Sheet2!$K$4,Sheet2!$K$1,IF(E28&lt;=Sheet2!$L$4,Sheet2!$L$1,IF(E28&lt;=Sheet2!$M$4,Sheet2!$M$1,Sheet2!$N$1)))</f>
        <v>0</v>
      </c>
      <c r="F29" s="36">
        <f>IF(F28&lt;=Sheet2!$K$7,Sheet2!$K$6,IF(F28&lt;=Sheet2!$L$7,Sheet2!$L$6,IF(F28&lt;=Sheet2!$M$7,Sheet2!$M$6,IF(F28&lt;Sheet2!$N$7,Sheet2!$N$6,IF(F28&lt;Sheet2!$O$7,Sheet2!$O$6,Sheet2!$P$6)))))</f>
        <v>0</v>
      </c>
      <c r="G29" s="36">
        <f>IF(G28&lt;=Sheet2!$K$8,Sheet2!$K$6,IF(G28&lt;=Sheet2!$L$8,Sheet2!$L$6,IF(G28&lt;=Sheet2!$M$8,Sheet2!$M$6,IF(G28&lt;Sheet2!$N$8,Sheet2!$N$6,IF(G28&lt;Sheet2!$O$8,Sheet2!$O$6,Sheet2!$P$6)))))</f>
        <v>0</v>
      </c>
      <c r="H29" s="36">
        <f>IF(H28&lt;=Sheet2!$K$9,Sheet2!$K$6,IF(H28&lt;=Sheet2!$L$9,Sheet2!$L$6,IF(H28&lt;=Sheet2!$M$9,Sheet2!$M$6,IF(H28&lt;Sheet2!$N$9,Sheet2!$N$6,IF(H28&lt;Sheet2!$O$9,Sheet2!$O$6,Sheet2!$P$6)))))</f>
        <v>0</v>
      </c>
      <c r="I29" s="36">
        <f>IF(I28&lt;=Sheet2!$K$10,Sheet2!$K$6,IF(I28&lt;=Sheet2!$L$10,Sheet2!$L$6,IF(I28&lt;=Sheet2!$M$10,Sheet2!$M$6,IF(I28&lt;Sheet2!$N$10,Sheet2!$N$6,IF(I28&lt;Sheet2!$O$10,Sheet2!$O$6,Sheet2!$P$6)))))</f>
        <v>0</v>
      </c>
    </row>
    <row r="30" spans="1:9" hidden="1">
      <c r="A30" s="19" t="s">
        <v>35</v>
      </c>
      <c r="B30" s="21"/>
      <c r="C30" s="40">
        <f>IF(C16=C29,C26,IF(C8&lt;=Sheet2!$K$2,C26,IF(C8&lt;=Sheet2!$L$2,C8-Sheet2!$K$2,IF(C8&lt;=Sheet2!$M$2,C8-Sheet2!$L$2,C8-Sheet2!$M$2))))</f>
        <v>0</v>
      </c>
      <c r="D30" s="40">
        <f>IF(D16=D29,D26,IF(D7&lt;=Sheet2!$K$3,D26,IF(D7&lt;=Sheet2!$L$3,D7-Sheet2!$K$3,IF(D7&lt;=Sheet2!$M$3,D7-Sheet2!$L$3,D7-Sheet2!$M$3))))</f>
        <v>0</v>
      </c>
      <c r="E30" s="40">
        <f>IF(E16=E29,E26,IF(E7&lt;=Sheet2!$K$4,E26,IF(E7&lt;=Sheet2!$L$4,E7-Sheet2!$K$4,IF(E7&lt;=Sheet2!$M$4,E7-Sheet2!$L$4,E7-Sheet2!$M$4))))</f>
        <v>0</v>
      </c>
      <c r="F30" s="40">
        <f>IF(F16=F29,F26,IF(F7&lt;=Sheet2!$K$7,F26,IF(F7&lt;=Sheet2!$L$7,F7-Sheet2!$K$7,IF(F7&lt;=Sheet2!$M$7,F7-Sheet2!$L$7,IF(F7&lt;=Sheet2!$N$7,F7-Sheet2!$M$7,IF(F7&lt;=Sheet2!$O$7,F7-Sheet2!$N$7,F7-Sheet2!$O$7))))))</f>
        <v>0</v>
      </c>
      <c r="G30" s="40">
        <f>IF(G16=G29,G26,IF(G7&lt;=Sheet2!$K$8,G26,IF(G7&lt;=Sheet2!$L$8,G7-Sheet2!$K$8,IF(G7&lt;=Sheet2!$M$8,G7-Sheet2!$L$8,IF(G7&lt;=Sheet2!$N$8,G7-Sheet2!$M$8,IF(G7&lt;=Sheet2!$O$8,G7-Sheet2!$N$8,G7-Sheet2!$O$8))))))</f>
        <v>0</v>
      </c>
      <c r="H30" s="40">
        <f>IF(H16=H29,H26,IF(H7&lt;=Sheet2!$K$9,H26,IF(H7&lt;=Sheet2!$L$9,H7-Sheet2!$K$9,IF(H7&lt;=Sheet2!$M$9,H7-Sheet2!$L$9,IF(H7&lt;=Sheet2!$N$9,H7-Sheet2!$M$9,IF(H7&lt;=Sheet2!$O$9,H7-Sheet2!$N$9,H7-Sheet2!$O$9))))))</f>
        <v>0</v>
      </c>
      <c r="I30" s="40">
        <f>IF(I16=I29,I26,IF(I7&lt;=Sheet2!$K$10,I26,IF(I7&lt;=Sheet2!$L$10,I7-Sheet2!$K$10,IF(I7&lt;=Sheet2!$M$10,I7-Sheet2!$L$10,IF(I7&lt;=Sheet2!$N$10,I7-Sheet2!$M$10,IF(I7&lt;=Sheet2!$O$10,I7-Sheet2!$N$10,I7-Sheet2!$O$10))))))</f>
        <v>0</v>
      </c>
    </row>
    <row r="31" spans="1:9" hidden="1">
      <c r="A31" s="19" t="s">
        <v>36</v>
      </c>
      <c r="B31" s="21"/>
      <c r="C31" s="40">
        <f t="shared" ref="C31:I31" si="10">C26-C30</f>
        <v>0</v>
      </c>
      <c r="D31" s="40">
        <f t="shared" si="10"/>
        <v>0</v>
      </c>
      <c r="E31" s="40">
        <f t="shared" si="10"/>
        <v>0</v>
      </c>
      <c r="F31" s="40">
        <f t="shared" si="10"/>
        <v>0</v>
      </c>
      <c r="G31" s="40">
        <f t="shared" si="10"/>
        <v>0</v>
      </c>
      <c r="H31" s="40">
        <f t="shared" si="10"/>
        <v>0</v>
      </c>
      <c r="I31" s="40">
        <f t="shared" si="10"/>
        <v>0</v>
      </c>
    </row>
    <row r="32" spans="1:9" hidden="1">
      <c r="A32" s="19" t="s">
        <v>37</v>
      </c>
      <c r="B32" s="21"/>
      <c r="C32" s="40">
        <f t="shared" ref="C32:I32" si="11">(C30*C16)+(C31*C29)</f>
        <v>0</v>
      </c>
      <c r="D32" s="40">
        <f t="shared" si="11"/>
        <v>0</v>
      </c>
      <c r="E32" s="40">
        <f t="shared" si="11"/>
        <v>0</v>
      </c>
      <c r="F32" s="40">
        <f t="shared" si="11"/>
        <v>0</v>
      </c>
      <c r="G32" s="40">
        <f t="shared" si="11"/>
        <v>0</v>
      </c>
      <c r="H32" s="40">
        <f t="shared" si="11"/>
        <v>0</v>
      </c>
      <c r="I32" s="40">
        <f t="shared" si="11"/>
        <v>0</v>
      </c>
    </row>
    <row r="33" spans="1:9">
      <c r="A33" s="19" t="s">
        <v>38</v>
      </c>
      <c r="B33" s="31" t="s">
        <v>13</v>
      </c>
      <c r="C33" s="24">
        <f t="shared" ref="C33:I33" si="12">C26-C32</f>
        <v>0</v>
      </c>
      <c r="D33" s="24">
        <f t="shared" si="12"/>
        <v>0</v>
      </c>
      <c r="E33" s="24">
        <f t="shared" si="12"/>
        <v>0</v>
      </c>
      <c r="F33" s="24">
        <f t="shared" si="12"/>
        <v>0</v>
      </c>
      <c r="G33" s="24">
        <f t="shared" si="12"/>
        <v>0</v>
      </c>
      <c r="H33" s="24">
        <f t="shared" si="12"/>
        <v>0</v>
      </c>
      <c r="I33" s="24">
        <f t="shared" si="12"/>
        <v>0</v>
      </c>
    </row>
    <row r="34" spans="1:9">
      <c r="A34" s="19" t="s">
        <v>39</v>
      </c>
      <c r="B34" s="31" t="s">
        <v>13</v>
      </c>
      <c r="C34" s="24">
        <f ca="1">C33*(C23-1)</f>
        <v>0</v>
      </c>
      <c r="D34" s="24">
        <f t="shared" ref="D34:I34" ca="1" si="13">D33*(D23-1)</f>
        <v>0</v>
      </c>
      <c r="E34" s="24">
        <f t="shared" ca="1" si="13"/>
        <v>0</v>
      </c>
      <c r="F34" s="24">
        <f t="shared" ca="1" si="13"/>
        <v>0</v>
      </c>
      <c r="G34" s="24">
        <f t="shared" ca="1" si="13"/>
        <v>0</v>
      </c>
      <c r="H34" s="24">
        <f t="shared" ca="1" si="13"/>
        <v>0</v>
      </c>
      <c r="I34" s="24">
        <f t="shared" ca="1" si="13"/>
        <v>0</v>
      </c>
    </row>
    <row r="35" spans="1:9" hidden="1">
      <c r="A35" s="19" t="s">
        <v>40</v>
      </c>
      <c r="B35" s="21"/>
      <c r="C35" s="40">
        <f>C18*(C6/12)*C15*Sheet2!$P$2</f>
        <v>0</v>
      </c>
      <c r="D35" s="40">
        <f>D18*(D6/12)*D15*Sheet2!$P$2</f>
        <v>0</v>
      </c>
      <c r="E35" s="40">
        <f>E18*(E6/12)*E15*Sheet2!$P$2</f>
        <v>0</v>
      </c>
      <c r="F35" s="40">
        <f>F18*(F6/12)*F15*Sheet2!$P$2</f>
        <v>0</v>
      </c>
      <c r="G35" s="40">
        <f>G18*(G6/12)*G15*Sheet2!$P$3</f>
        <v>0</v>
      </c>
      <c r="H35" s="40">
        <f>H18*(H6/12)*H15*Sheet2!$P$3</f>
        <v>0</v>
      </c>
      <c r="I35" s="40">
        <f>I18*(I6/12)*I15*Sheet2!$P$3</f>
        <v>0</v>
      </c>
    </row>
    <row r="37" spans="1:9">
      <c r="A37" s="41"/>
      <c r="B37" s="34" t="s">
        <v>41</v>
      </c>
      <c r="C37" s="24">
        <f>SUM(C33:I33)</f>
        <v>0</v>
      </c>
    </row>
    <row r="38" spans="1:9" ht="15.75" thickBot="1">
      <c r="B38" s="34" t="s">
        <v>39</v>
      </c>
      <c r="C38" s="24">
        <f ca="1">SUM(C34:I34)</f>
        <v>0</v>
      </c>
    </row>
    <row r="39" spans="1:9" ht="16.5" thickBot="1">
      <c r="B39" s="42" t="s">
        <v>42</v>
      </c>
      <c r="C39" s="43">
        <f ca="1">C37+C38</f>
        <v>0</v>
      </c>
    </row>
    <row r="41" spans="1:9" ht="15.75">
      <c r="B41" s="44" t="str">
        <f>IF(C41="","","Error:")</f>
        <v/>
      </c>
      <c r="C41" s="25" t="str">
        <f>IF(OR(C14="Error",D14="Error",E14="Error",F14="Error",G14="Error",H14="Error",I14="Error"),"Please enter information for year prior to buy back period",IF(OR(B15="Error",C15="Error",D15="Error",E15="Error",F15="Error",G15="Error",H15="Error",I15="Error"),"Number of hours worked per week can not exceed whole time equivalent",IF(OR(B17="Error",C17="Error",D17="Error",E17="Error",F17="Error",G17="Error",H17="Error",I17="Error"),"Employed from date can not be later than employed to date",IF(OR(C20="Error",D20="Error",E20="Error",F20="Error",G20="Error",H20="Error",I20="Error"),"Cant buy back more service than employed during the year",IF(OR(C13="Error",D13="Error",E13="Error",F13="Error",G13="Error",H13="Error",I13="Error"),"Total Pensionable Pay can not be higher than Total Taxable Pay","")))))</f>
        <v/>
      </c>
    </row>
    <row r="42" spans="1:9">
      <c r="B42" s="34" t="str">
        <f>IF(OR($B$7&gt;250000,$C$7&gt;250000,$D$7&gt;250000,$E$7&gt;250000,$F$7&gt;250000,$G$7&gt;250000,$H$7&gt;250000,$I$7&gt;250000),"Warning:","")</f>
        <v/>
      </c>
      <c r="C42" s="26" t="str">
        <f>IF(OR($B$7&gt;250000,$C$7&gt;250000,$D$7&gt;250000,$E$7&gt;250000,$F$7&gt;250000,$G$7&gt;250000,$H$7&gt;250000,$I$7&gt;250000),"Total Pensionable Pay exceeds £250,000","")</f>
        <v/>
      </c>
    </row>
  </sheetData>
  <sheetProtection algorithmName="SHA-512" hashValue="qa2xssnY0C1s9J0kG+GY5BWUhuKqlmSDKEaQLLq3q9zzVemQ40xTj9thf6DmWdyfKVNxXT4X3GHsyQnCYFzgXA==" saltValue="T3N6yqM6TbkCUV/R2cN9HQ==" spinCount="100000" sheet="1" selectLockedCells="1"/>
  <mergeCells count="1">
    <mergeCell ref="B2:I2"/>
  </mergeCells>
  <dataValidations count="11">
    <dataValidation type="date" allowBlank="1" showInputMessage="1" showErrorMessage="1" sqref="C4:C5" xr:uid="{F19CEAFA-6C19-404F-9F36-3E14368BD3C0}">
      <formula1>42095</formula1>
      <formula2>42460</formula2>
    </dataValidation>
    <dataValidation type="date" allowBlank="1" showInputMessage="1" showErrorMessage="1" sqref="D4:D5" xr:uid="{D814E18B-36E6-405E-BF94-FD7507215AF6}">
      <formula1>42461</formula1>
      <formula2>42825</formula2>
    </dataValidation>
    <dataValidation type="date" allowBlank="1" showInputMessage="1" showErrorMessage="1" sqref="E4:E5" xr:uid="{B0B05A9B-FD6F-47E6-ACAE-9E3D50D123B5}">
      <formula1>42826</formula1>
      <formula2>43190</formula2>
    </dataValidation>
    <dataValidation type="date" allowBlank="1" showInputMessage="1" showErrorMessage="1" sqref="F4:F5" xr:uid="{00684936-73B2-445C-932A-21EAE05EBB68}">
      <formula1>43191</formula1>
      <formula2>43555</formula2>
    </dataValidation>
    <dataValidation type="date" allowBlank="1" showInputMessage="1" showErrorMessage="1" sqref="G4:G5" xr:uid="{2407AC7C-5D09-4E18-BE53-9692F70795DD}">
      <formula1>43556</formula1>
      <formula2>43921</formula2>
    </dataValidation>
    <dataValidation type="date" allowBlank="1" showInputMessage="1" showErrorMessage="1" sqref="H4:H5" xr:uid="{51B50600-AA2E-4480-BA69-53D2DCF8BB6B}">
      <formula1>43922</formula1>
      <formula2>44286</formula2>
    </dataValidation>
    <dataValidation type="date" allowBlank="1" showInputMessage="1" showErrorMessage="1" sqref="I4:I5" xr:uid="{427A64DE-2497-4BE4-9748-BC151406987F}">
      <formula1>44287</formula1>
      <formula2>44651</formula2>
    </dataValidation>
    <dataValidation type="decimal" allowBlank="1" showInputMessage="1" showErrorMessage="1" sqref="C14:I14 B10:I10 B12:I12" xr:uid="{47C4EF6C-5596-46E2-8C97-2DE0BCE62403}">
      <formula1>0</formula1>
      <formula2>40</formula2>
    </dataValidation>
    <dataValidation type="date" allowBlank="1" showInputMessage="1" showErrorMessage="1" sqref="B4:B5" xr:uid="{73CDD586-F0FD-44EC-BBFE-E8A59121884E}">
      <formula1>41730</formula1>
      <formula2>42094</formula2>
    </dataValidation>
    <dataValidation type="decimal" allowBlank="1" showInputMessage="1" showErrorMessage="1" sqref="B11:I11" xr:uid="{D1BF2313-DDFF-4BBA-A389-145C97E6AE19}">
      <formula1>35</formula1>
      <formula2>40</formula2>
    </dataValidation>
    <dataValidation type="decimal" allowBlank="1" showInputMessage="1" showErrorMessage="1" sqref="C8:I8 B7:I7" xr:uid="{9C2DF6A2-EAF5-4649-B633-2F0AE32A65B2}">
      <formula1>0</formula1>
      <formula2>999999</formula2>
    </dataValidation>
  </dataValidations>
  <pageMargins left="0.70866141732283472" right="0.70866141732283472" top="0.74803149606299213" bottom="0.74803149606299213" header="0.31496062992125984" footer="0.31496062992125984"/>
  <pageSetup paperSize="9" scale="71" orientation="landscape" r:id="rId1"/>
  <headerFooter>
    <oddFooter>&amp;C&amp;F&amp;R&amp;D</oddFooter>
  </headerFooter>
  <ignoredErrors>
    <ignoredError sqref="G17 C17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Clear">
                <anchor moveWithCells="1" sizeWithCells="1">
                  <from>
                    <xdr:col>3</xdr:col>
                    <xdr:colOff>1114425</xdr:colOff>
                    <xdr:row>37</xdr:row>
                    <xdr:rowOff>28575</xdr:rowOff>
                  </from>
                  <to>
                    <xdr:col>6</xdr:col>
                    <xdr:colOff>38100</xdr:colOff>
                    <xdr:row>38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C29DBF9-CDF9-46ED-8AEA-B59A33DDE476}">
          <x14:formula1>
            <xm:f>Sheet2!$B$1:$B$13</xm:f>
          </x14:formula1>
          <xm:sqref>C6:E6</xm:sqref>
        </x14:dataValidation>
        <x14:dataValidation type="list" allowBlank="1" showInputMessage="1" showErrorMessage="1" xr:uid="{B3983D02-5696-47DD-B88E-A04323BDB2D7}">
          <x14:formula1>
            <xm:f>Sheet2!$A$1:$A$2</xm:f>
          </x14:formula1>
          <xm:sqref>B9:I9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C6940-8B26-4BEE-B4F1-B3CE977373F7}">
  <sheetPr codeName="Sheet3"/>
  <dimension ref="A1:R25"/>
  <sheetViews>
    <sheetView workbookViewId="0">
      <selection activeCell="N21" sqref="N21"/>
    </sheetView>
  </sheetViews>
  <sheetFormatPr defaultRowHeight="15"/>
  <cols>
    <col min="1" max="1" width="10.7109375" bestFit="1" customWidth="1"/>
    <col min="2" max="2" width="10.140625" customWidth="1"/>
    <col min="3" max="3" width="12.42578125" bestFit="1" customWidth="1"/>
    <col min="4" max="4" width="12.28515625" bestFit="1" customWidth="1"/>
    <col min="5" max="5" width="13.85546875" customWidth="1"/>
    <col min="6" max="6" width="12.28515625" bestFit="1" customWidth="1"/>
    <col min="7" max="7" width="14.140625" customWidth="1"/>
    <col min="8" max="8" width="12.28515625" customWidth="1"/>
    <col min="9" max="9" width="12.5703125" customWidth="1"/>
    <col min="10" max="10" width="12.85546875" customWidth="1"/>
    <col min="11" max="11" width="13.140625" customWidth="1"/>
    <col min="12" max="12" width="13.85546875" customWidth="1"/>
    <col min="13" max="13" width="13.5703125" customWidth="1"/>
    <col min="14" max="14" width="11.7109375" customWidth="1"/>
    <col min="15" max="15" width="12.140625" customWidth="1"/>
    <col min="16" max="16" width="13" customWidth="1"/>
    <col min="17" max="18" width="10.7109375" bestFit="1" customWidth="1"/>
  </cols>
  <sheetData>
    <row r="1" spans="1:18" ht="30">
      <c r="A1" s="8" t="s">
        <v>43</v>
      </c>
      <c r="B1" s="9" t="s">
        <v>44</v>
      </c>
      <c r="C1" s="9" t="s">
        <v>45</v>
      </c>
      <c r="D1" s="7" t="s">
        <v>46</v>
      </c>
      <c r="E1" s="9" t="s">
        <v>47</v>
      </c>
      <c r="F1" s="7" t="s">
        <v>48</v>
      </c>
      <c r="G1" s="9" t="s">
        <v>49</v>
      </c>
      <c r="H1" s="7" t="s">
        <v>50</v>
      </c>
      <c r="I1" s="9" t="s">
        <v>51</v>
      </c>
      <c r="J1" s="7" t="s">
        <v>52</v>
      </c>
      <c r="K1" s="9" t="s">
        <v>53</v>
      </c>
      <c r="L1" s="7" t="s">
        <v>54</v>
      </c>
      <c r="M1" s="9" t="s">
        <v>55</v>
      </c>
      <c r="N1" s="7" t="s">
        <v>56</v>
      </c>
      <c r="O1" s="9" t="s">
        <v>57</v>
      </c>
      <c r="P1" s="7" t="s">
        <v>58</v>
      </c>
      <c r="Q1" s="10">
        <f ca="1">TODAY()</f>
        <v>46087</v>
      </c>
      <c r="R1" s="10">
        <f ca="1">Q1+28</f>
        <v>46115</v>
      </c>
    </row>
    <row r="2" spans="1:18">
      <c r="A2" s="17">
        <v>45721</v>
      </c>
      <c r="B2" s="18">
        <v>1.0329999999999999</v>
      </c>
      <c r="C2" s="13">
        <f ca="1">$R$1-$A$2</f>
        <v>394</v>
      </c>
      <c r="D2" s="14">
        <f ca="1">B2^(C2/365.25)</f>
        <v>1.0356433076282612</v>
      </c>
      <c r="E2" s="13">
        <f ca="1">$R$1-$A$2</f>
        <v>394</v>
      </c>
      <c r="F2" s="14">
        <f t="shared" ref="F2:F20" ca="1" si="0">B2^(E2/365.25)</f>
        <v>1.0356433076282612</v>
      </c>
      <c r="G2" s="13">
        <f ca="1">$R$1-$A$2</f>
        <v>394</v>
      </c>
      <c r="H2" s="14">
        <f ca="1">$B2^(G2/365.25)</f>
        <v>1.0356433076282612</v>
      </c>
      <c r="I2" s="13">
        <f ca="1">$R$1-$A$2</f>
        <v>394</v>
      </c>
      <c r="J2" s="14">
        <f ca="1">$B2^(I2/365.25)</f>
        <v>1.0356433076282612</v>
      </c>
      <c r="K2" s="13">
        <f ca="1">$R$1-$A$2</f>
        <v>394</v>
      </c>
      <c r="L2" s="14">
        <f ca="1">$B2^(K2/365.25)</f>
        <v>1.0356433076282612</v>
      </c>
      <c r="M2" s="13">
        <f ca="1">$R$1-$A$2</f>
        <v>394</v>
      </c>
      <c r="N2" s="14">
        <f ca="1">$B2^(M2/365.25)</f>
        <v>1.0356433076282612</v>
      </c>
      <c r="O2" s="13">
        <f ca="1">$R$1-$A$2</f>
        <v>394</v>
      </c>
      <c r="P2" s="14">
        <f ca="1">$B2^(O2/365.25)</f>
        <v>1.0356433076282612</v>
      </c>
      <c r="Q2" s="10"/>
      <c r="R2" s="10"/>
    </row>
    <row r="3" spans="1:18">
      <c r="A3" s="17">
        <v>45646</v>
      </c>
      <c r="B3" s="18">
        <v>1.0349999999999999</v>
      </c>
      <c r="C3" s="13">
        <f t="shared" ref="C3" si="1">$A2-$A3</f>
        <v>75</v>
      </c>
      <c r="D3" s="14">
        <f t="shared" ref="D3:D6" si="2">B3^(C3/365.25)</f>
        <v>1.0070889565234933</v>
      </c>
      <c r="E3" s="13">
        <f t="shared" ref="E3" si="3">$A2-$A3</f>
        <v>75</v>
      </c>
      <c r="F3" s="14">
        <f t="shared" ref="F3:F6" si="4">B3^(E3/365.25)</f>
        <v>1.0070889565234933</v>
      </c>
      <c r="G3" s="13">
        <f t="shared" ref="G3" si="5">$A2-$A3</f>
        <v>75</v>
      </c>
      <c r="H3" s="14">
        <f t="shared" ref="H3:H6" si="6">$B3^(G3/365.25)</f>
        <v>1.0070889565234933</v>
      </c>
      <c r="I3" s="13">
        <f t="shared" ref="I3" si="7">$A2-$A3</f>
        <v>75</v>
      </c>
      <c r="J3" s="14">
        <f t="shared" ref="J3:J6" si="8">$B3^(I3/365.25)</f>
        <v>1.0070889565234933</v>
      </c>
      <c r="K3" s="13">
        <f t="shared" ref="K3" si="9">$A2-$A3</f>
        <v>75</v>
      </c>
      <c r="L3" s="14">
        <f t="shared" ref="L3:L6" si="10">$B3^(K3/365.25)</f>
        <v>1.0070889565234933</v>
      </c>
      <c r="M3" s="13">
        <f t="shared" ref="M3" si="11">$A2-$A3</f>
        <v>75</v>
      </c>
      <c r="N3" s="14">
        <f t="shared" ref="N3:N6" si="12">$B3^(M3/365.25)</f>
        <v>1.0070889565234933</v>
      </c>
      <c r="O3" s="13">
        <f t="shared" ref="O3:O6" si="13">$A2-$A3</f>
        <v>75</v>
      </c>
      <c r="P3" s="14">
        <f t="shared" ref="P3:P6" si="14">$B3^(O3/365.25)</f>
        <v>1.0070889565234933</v>
      </c>
      <c r="Q3" s="10"/>
      <c r="R3" s="10"/>
    </row>
    <row r="4" spans="1:18">
      <c r="A4" s="17">
        <v>45616</v>
      </c>
      <c r="B4" s="18">
        <v>1.0375000000000001</v>
      </c>
      <c r="C4" s="13">
        <f t="shared" ref="C4" si="15">$A3-$A4</f>
        <v>30</v>
      </c>
      <c r="D4" s="14">
        <f t="shared" si="2"/>
        <v>1.0030283110564349</v>
      </c>
      <c r="E4" s="13">
        <f t="shared" ref="E4" si="16">$A3-$A4</f>
        <v>30</v>
      </c>
      <c r="F4" s="14">
        <f t="shared" si="4"/>
        <v>1.0030283110564349</v>
      </c>
      <c r="G4" s="13">
        <f t="shared" ref="G4" si="17">$A3-$A4</f>
        <v>30</v>
      </c>
      <c r="H4" s="14">
        <f t="shared" si="6"/>
        <v>1.0030283110564349</v>
      </c>
      <c r="I4" s="13">
        <f t="shared" ref="I4" si="18">$A3-$A4</f>
        <v>30</v>
      </c>
      <c r="J4" s="14">
        <f t="shared" si="8"/>
        <v>1.0030283110564349</v>
      </c>
      <c r="K4" s="13">
        <f t="shared" ref="K4" si="19">$A3-$A4</f>
        <v>30</v>
      </c>
      <c r="L4" s="14">
        <f t="shared" si="10"/>
        <v>1.0030283110564349</v>
      </c>
      <c r="M4" s="13">
        <f t="shared" ref="M4" si="20">$A3-$A4</f>
        <v>30</v>
      </c>
      <c r="N4" s="14">
        <f t="shared" si="12"/>
        <v>1.0030283110564349</v>
      </c>
      <c r="O4" s="13">
        <f t="shared" si="13"/>
        <v>30</v>
      </c>
      <c r="P4" s="14">
        <f t="shared" si="14"/>
        <v>1.0030283110564349</v>
      </c>
      <c r="Q4" s="10"/>
      <c r="R4" s="10"/>
    </row>
    <row r="5" spans="1:18">
      <c r="A5" s="17">
        <v>45435</v>
      </c>
      <c r="B5" s="18">
        <v>1.04</v>
      </c>
      <c r="C5" s="13">
        <f t="shared" ref="C5" si="21">$A4-$A5</f>
        <v>181</v>
      </c>
      <c r="D5" s="14">
        <f t="shared" si="2"/>
        <v>1.0196259693476684</v>
      </c>
      <c r="E5" s="13">
        <f t="shared" ref="E5" si="22">$A4-$A5</f>
        <v>181</v>
      </c>
      <c r="F5" s="14">
        <f t="shared" si="4"/>
        <v>1.0196259693476684</v>
      </c>
      <c r="G5" s="13">
        <f t="shared" ref="G5" si="23">$A4-$A5</f>
        <v>181</v>
      </c>
      <c r="H5" s="14">
        <f t="shared" si="6"/>
        <v>1.0196259693476684</v>
      </c>
      <c r="I5" s="13">
        <f t="shared" ref="I5" si="24">$A4-$A5</f>
        <v>181</v>
      </c>
      <c r="J5" s="14">
        <f t="shared" si="8"/>
        <v>1.0196259693476684</v>
      </c>
      <c r="K5" s="13">
        <f t="shared" ref="K5" si="25">$A4-$A5</f>
        <v>181</v>
      </c>
      <c r="L5" s="14">
        <f t="shared" si="10"/>
        <v>1.0196259693476684</v>
      </c>
      <c r="M5" s="13">
        <f t="shared" ref="M5" si="26">$A4-$A5</f>
        <v>181</v>
      </c>
      <c r="N5" s="14">
        <f t="shared" si="12"/>
        <v>1.0196259693476684</v>
      </c>
      <c r="O5" s="13">
        <f t="shared" si="13"/>
        <v>181</v>
      </c>
      <c r="P5" s="14">
        <f t="shared" si="14"/>
        <v>1.0196259693476684</v>
      </c>
      <c r="Q5" s="10"/>
      <c r="R5" s="10"/>
    </row>
    <row r="6" spans="1:18">
      <c r="A6" s="11">
        <v>45156</v>
      </c>
      <c r="B6" s="12">
        <v>1.0365</v>
      </c>
      <c r="C6" s="13">
        <f t="shared" ref="C6" si="27">$A5-$A6</f>
        <v>279</v>
      </c>
      <c r="D6" s="14">
        <f t="shared" si="2"/>
        <v>1.0277625204493888</v>
      </c>
      <c r="E6" s="13">
        <f t="shared" ref="E6" si="28">$A5-$A6</f>
        <v>279</v>
      </c>
      <c r="F6" s="14">
        <f t="shared" si="4"/>
        <v>1.0277625204493888</v>
      </c>
      <c r="G6" s="13">
        <f t="shared" ref="G6" si="29">$A5-$A6</f>
        <v>279</v>
      </c>
      <c r="H6" s="14">
        <f t="shared" si="6"/>
        <v>1.0277625204493888</v>
      </c>
      <c r="I6" s="13">
        <f t="shared" ref="I6" si="30">$A5-$A6</f>
        <v>279</v>
      </c>
      <c r="J6" s="14">
        <f t="shared" si="8"/>
        <v>1.0277625204493888</v>
      </c>
      <c r="K6" s="13">
        <f t="shared" ref="K6" si="31">$A5-$A6</f>
        <v>279</v>
      </c>
      <c r="L6" s="14">
        <f t="shared" si="10"/>
        <v>1.0277625204493888</v>
      </c>
      <c r="M6" s="13">
        <f t="shared" ref="M6" si="32">$A5-$A6</f>
        <v>279</v>
      </c>
      <c r="N6" s="14">
        <f t="shared" si="12"/>
        <v>1.0277625204493888</v>
      </c>
      <c r="O6" s="13">
        <f t="shared" si="13"/>
        <v>279</v>
      </c>
      <c r="P6" s="14">
        <f t="shared" si="14"/>
        <v>1.0277625204493888</v>
      </c>
    </row>
    <row r="7" spans="1:18">
      <c r="A7" s="11">
        <v>45090</v>
      </c>
      <c r="B7" s="12">
        <v>1.034</v>
      </c>
      <c r="C7" s="13">
        <f t="shared" ref="C7:M10" si="33">$A6-$A7</f>
        <v>66</v>
      </c>
      <c r="D7" s="14">
        <f t="shared" ref="D7:D20" si="34">B7^(C7/365.25)</f>
        <v>1.0060598895381661</v>
      </c>
      <c r="E7" s="13">
        <f t="shared" si="33"/>
        <v>66</v>
      </c>
      <c r="F7" s="14">
        <f t="shared" si="0"/>
        <v>1.0060598895381661</v>
      </c>
      <c r="G7" s="13">
        <f t="shared" si="33"/>
        <v>66</v>
      </c>
      <c r="H7" s="14">
        <f t="shared" ref="H7:H20" si="35">$B7^(G7/365.25)</f>
        <v>1.0060598895381661</v>
      </c>
      <c r="I7" s="13">
        <f t="shared" si="33"/>
        <v>66</v>
      </c>
      <c r="J7" s="14">
        <f t="shared" ref="J7:J20" si="36">$B7^(I7/365.25)</f>
        <v>1.0060598895381661</v>
      </c>
      <c r="K7" s="13">
        <f t="shared" si="33"/>
        <v>66</v>
      </c>
      <c r="L7" s="14">
        <f t="shared" ref="L7:L20" si="37">$B7^(K7/365.25)</f>
        <v>1.0060598895381661</v>
      </c>
      <c r="M7" s="13">
        <f t="shared" si="33"/>
        <v>66</v>
      </c>
      <c r="N7" s="14">
        <f t="shared" ref="N7:N20" si="38">$B7^(M7/365.25)</f>
        <v>1.0060598895381661</v>
      </c>
      <c r="O7" s="13">
        <f t="shared" ref="O7:O10" si="39">$A6-$A7</f>
        <v>66</v>
      </c>
      <c r="P7" s="14">
        <f t="shared" ref="P7:P20" si="40">$B7^(O7/365.25)</f>
        <v>1.0060598895381661</v>
      </c>
    </row>
    <row r="8" spans="1:18">
      <c r="A8" s="11">
        <v>44971</v>
      </c>
      <c r="B8" s="12">
        <v>1.0285</v>
      </c>
      <c r="C8" s="13">
        <f t="shared" si="33"/>
        <v>119</v>
      </c>
      <c r="D8" s="14">
        <f t="shared" si="34"/>
        <v>1.0091976055734242</v>
      </c>
      <c r="E8" s="13">
        <f t="shared" si="33"/>
        <v>119</v>
      </c>
      <c r="F8" s="14">
        <f t="shared" si="0"/>
        <v>1.0091976055734242</v>
      </c>
      <c r="G8" s="13">
        <f t="shared" si="33"/>
        <v>119</v>
      </c>
      <c r="H8" s="14">
        <f t="shared" si="35"/>
        <v>1.0091976055734242</v>
      </c>
      <c r="I8" s="13">
        <f t="shared" si="33"/>
        <v>119</v>
      </c>
      <c r="J8" s="14">
        <f t="shared" si="36"/>
        <v>1.0091976055734242</v>
      </c>
      <c r="K8" s="13">
        <f t="shared" si="33"/>
        <v>119</v>
      </c>
      <c r="L8" s="14">
        <f t="shared" si="37"/>
        <v>1.0091976055734242</v>
      </c>
      <c r="M8" s="13">
        <f t="shared" si="33"/>
        <v>119</v>
      </c>
      <c r="N8" s="14">
        <f t="shared" si="38"/>
        <v>1.0091976055734242</v>
      </c>
      <c r="O8" s="13">
        <f t="shared" si="39"/>
        <v>119</v>
      </c>
      <c r="P8" s="14">
        <f t="shared" si="40"/>
        <v>1.0091976055734242</v>
      </c>
    </row>
    <row r="9" spans="1:18">
      <c r="A9" s="11">
        <v>44950</v>
      </c>
      <c r="B9" s="12">
        <v>1.026</v>
      </c>
      <c r="C9" s="13">
        <f t="shared" si="33"/>
        <v>21</v>
      </c>
      <c r="D9" s="14">
        <f t="shared" si="34"/>
        <v>1.0014768531485094</v>
      </c>
      <c r="E9" s="13">
        <f t="shared" si="33"/>
        <v>21</v>
      </c>
      <c r="F9" s="14">
        <f t="shared" si="0"/>
        <v>1.0014768531485094</v>
      </c>
      <c r="G9" s="13">
        <f t="shared" si="33"/>
        <v>21</v>
      </c>
      <c r="H9" s="14">
        <f t="shared" si="35"/>
        <v>1.0014768531485094</v>
      </c>
      <c r="I9" s="13">
        <f t="shared" si="33"/>
        <v>21</v>
      </c>
      <c r="J9" s="14">
        <f t="shared" si="36"/>
        <v>1.0014768531485094</v>
      </c>
      <c r="K9" s="13">
        <f t="shared" si="33"/>
        <v>21</v>
      </c>
      <c r="L9" s="14">
        <f t="shared" si="37"/>
        <v>1.0014768531485094</v>
      </c>
      <c r="M9" s="13">
        <f t="shared" si="33"/>
        <v>21</v>
      </c>
      <c r="N9" s="14">
        <f t="shared" si="38"/>
        <v>1.0014768531485094</v>
      </c>
      <c r="O9" s="13">
        <f t="shared" si="39"/>
        <v>21</v>
      </c>
      <c r="P9" s="14">
        <f t="shared" si="40"/>
        <v>1.0014768531485094</v>
      </c>
    </row>
    <row r="10" spans="1:18">
      <c r="A10" s="11">
        <v>44908</v>
      </c>
      <c r="B10" s="15">
        <v>1.0229999999999999</v>
      </c>
      <c r="C10" s="13">
        <f t="shared" si="33"/>
        <v>42</v>
      </c>
      <c r="D10" s="14">
        <f t="shared" si="34"/>
        <v>1.0026182291273764</v>
      </c>
      <c r="E10" s="13">
        <f t="shared" si="33"/>
        <v>42</v>
      </c>
      <c r="F10" s="14">
        <f t="shared" si="0"/>
        <v>1.0026182291273764</v>
      </c>
      <c r="G10" s="13">
        <f t="shared" si="33"/>
        <v>42</v>
      </c>
      <c r="H10" s="14">
        <f t="shared" si="35"/>
        <v>1.0026182291273764</v>
      </c>
      <c r="I10" s="13">
        <f t="shared" si="33"/>
        <v>42</v>
      </c>
      <c r="J10" s="14">
        <f t="shared" si="36"/>
        <v>1.0026182291273764</v>
      </c>
      <c r="K10" s="13">
        <f t="shared" si="33"/>
        <v>42</v>
      </c>
      <c r="L10" s="14">
        <f t="shared" si="37"/>
        <v>1.0026182291273764</v>
      </c>
      <c r="M10" s="13">
        <f t="shared" si="33"/>
        <v>42</v>
      </c>
      <c r="N10" s="14">
        <f t="shared" si="38"/>
        <v>1.0026182291273764</v>
      </c>
      <c r="O10" s="13">
        <f t="shared" si="39"/>
        <v>42</v>
      </c>
      <c r="P10" s="14">
        <f t="shared" si="40"/>
        <v>1.0026182291273764</v>
      </c>
    </row>
    <row r="11" spans="1:18">
      <c r="A11" s="11">
        <v>44859</v>
      </c>
      <c r="B11" s="15">
        <v>1.018</v>
      </c>
      <c r="C11" s="13">
        <f>$A10-$A11</f>
        <v>49</v>
      </c>
      <c r="D11" s="14">
        <f t="shared" si="34"/>
        <v>1.0023961749099339</v>
      </c>
      <c r="E11" s="13">
        <f>$A10-$A11</f>
        <v>49</v>
      </c>
      <c r="F11" s="14">
        <f t="shared" si="0"/>
        <v>1.0023961749099339</v>
      </c>
      <c r="G11" s="13">
        <f>$A10-$A11</f>
        <v>49</v>
      </c>
      <c r="H11" s="14">
        <f t="shared" si="35"/>
        <v>1.0023961749099339</v>
      </c>
      <c r="I11" s="13">
        <f>$A10-$A11</f>
        <v>49</v>
      </c>
      <c r="J11" s="14">
        <f t="shared" si="36"/>
        <v>1.0023961749099339</v>
      </c>
      <c r="K11" s="13">
        <f>$A10-$A11</f>
        <v>49</v>
      </c>
      <c r="L11" s="14">
        <f t="shared" si="37"/>
        <v>1.0023961749099339</v>
      </c>
      <c r="M11" s="13">
        <f>$A10-$A11</f>
        <v>49</v>
      </c>
      <c r="N11" s="14">
        <f t="shared" si="38"/>
        <v>1.0023961749099339</v>
      </c>
      <c r="O11" s="13">
        <f>$A10-$A11</f>
        <v>49</v>
      </c>
      <c r="P11" s="14">
        <f t="shared" si="40"/>
        <v>1.0023961749099339</v>
      </c>
    </row>
    <row r="12" spans="1:18">
      <c r="A12" s="11">
        <v>44763</v>
      </c>
      <c r="B12" s="15">
        <v>1.012</v>
      </c>
      <c r="C12" s="13">
        <f>IF(Officer!$C$22&lt;A11,IF(Officer!$C$22&gt;A12,A11-Officer!$C$22,A11-A12),0)</f>
        <v>96</v>
      </c>
      <c r="D12" s="14">
        <f t="shared" si="34"/>
        <v>1.0031401500991282</v>
      </c>
      <c r="E12" s="13">
        <f>IF(Officer!$D$22&lt;A11,IF(Officer!$D$22&gt;A12,A11-Officer!$D$22,A11-A12),0)</f>
        <v>96</v>
      </c>
      <c r="F12" s="14">
        <f t="shared" si="0"/>
        <v>1.0031401500991282</v>
      </c>
      <c r="G12" s="13">
        <f>IF(Officer!$E$22&lt;A11,IF(Officer!$E$22&gt;A12,A11-Officer!$E$22,A11-A12),0)</f>
        <v>96</v>
      </c>
      <c r="H12" s="14">
        <f t="shared" si="35"/>
        <v>1.0031401500991282</v>
      </c>
      <c r="I12" s="13">
        <f>IF(Officer!$F$22&lt;A11,IF(Officer!$F$22&gt;A12,A11-Officer!$F$22,A11-A12),0)</f>
        <v>96</v>
      </c>
      <c r="J12" s="14">
        <f t="shared" si="36"/>
        <v>1.0031401500991282</v>
      </c>
      <c r="K12" s="13">
        <f>IF(Officer!$G$22&lt;A11,IF(Officer!$G$22&gt;A12,A11-Officer!$G$22,A11-A12),0)</f>
        <v>96</v>
      </c>
      <c r="L12" s="14">
        <f t="shared" si="37"/>
        <v>1.0031401500991282</v>
      </c>
      <c r="M12" s="13">
        <f>IF(Officer!$H$22&lt;A11,IF(Officer!$H$22&gt;A12,A11-Officer!$H$22,A11-A12),0)</f>
        <v>96</v>
      </c>
      <c r="N12" s="14">
        <f t="shared" si="38"/>
        <v>1.0031401500991282</v>
      </c>
      <c r="O12" s="13">
        <f>IF(Officer!$I$22&lt;A11,IF(Officer!$I$22&gt;A12,A11-Officer!$I$22,A11-A12),0)</f>
        <v>96</v>
      </c>
      <c r="P12" s="14">
        <f t="shared" si="40"/>
        <v>1.0031401500991282</v>
      </c>
    </row>
    <row r="13" spans="1:18">
      <c r="A13" s="11">
        <v>44602</v>
      </c>
      <c r="B13" s="15">
        <v>1.0049999999999999</v>
      </c>
      <c r="C13" s="13">
        <f>IF(Officer!$C$22&lt;A12,IF(Officer!$C$22&gt;A13,A12-Officer!$C$22,A12-A13),0)</f>
        <v>161</v>
      </c>
      <c r="D13" s="14">
        <f t="shared" si="34"/>
        <v>1.0022008966820313</v>
      </c>
      <c r="E13" s="13">
        <f>IF(Officer!$D$22&lt;A12,IF(Officer!$D$22&gt;A13,A12-Officer!$D$22,A12-A13),0)</f>
        <v>161</v>
      </c>
      <c r="F13" s="14">
        <f t="shared" si="0"/>
        <v>1.0022008966820313</v>
      </c>
      <c r="G13" s="13">
        <f>IF(Officer!$E$22&lt;A12,IF(Officer!$E$22&gt;A13,A12-Officer!$E$22,A12-A13),0)</f>
        <v>161</v>
      </c>
      <c r="H13" s="14">
        <f t="shared" si="35"/>
        <v>1.0022008966820313</v>
      </c>
      <c r="I13" s="13">
        <f>IF(Officer!$F$22&lt;A12,IF(Officer!$F$22&gt;A13,A12-Officer!$F$22,A12-A13),0)</f>
        <v>161</v>
      </c>
      <c r="J13" s="14">
        <f t="shared" si="36"/>
        <v>1.0022008966820313</v>
      </c>
      <c r="K13" s="13">
        <f>IF(Officer!$G$22&lt;A12,IF(Officer!$G$22&gt;A13,A12-Officer!$G$22,A12-A13),0)</f>
        <v>161</v>
      </c>
      <c r="L13" s="14">
        <f t="shared" si="37"/>
        <v>1.0022008966820313</v>
      </c>
      <c r="M13" s="13">
        <f>IF(Officer!$H$22&lt;A12,IF(Officer!$H$22&gt;A13,A12-Officer!$H$22,A12-A13),0)</f>
        <v>161</v>
      </c>
      <c r="N13" s="14">
        <f t="shared" si="38"/>
        <v>1.0022008966820313</v>
      </c>
      <c r="O13" s="13">
        <f>IF(Officer!$I$22&lt;A12,IF(Officer!$I$22&gt;A13,A12-Officer!$I$22,A12-A13),0)</f>
        <v>161</v>
      </c>
      <c r="P13" s="14">
        <f t="shared" si="40"/>
        <v>1.0022008966820313</v>
      </c>
    </row>
    <row r="14" spans="1:18">
      <c r="A14" s="11">
        <v>44559</v>
      </c>
      <c r="B14" s="15">
        <v>1.0035000000000001</v>
      </c>
      <c r="C14" s="13">
        <f>IF(Officer!$C$22&lt;A13,IF(Officer!$C$22&gt;A14,A13-Officer!$C$22,A13-A14),0)</f>
        <v>43</v>
      </c>
      <c r="D14" s="14">
        <f t="shared" si="34"/>
        <v>1.0004114117467395</v>
      </c>
      <c r="E14" s="13">
        <f>IF(Officer!$D$22&lt;A13,IF(Officer!$D$22&gt;A14,A13-Officer!$D$22,A13-A14),0)</f>
        <v>43</v>
      </c>
      <c r="F14" s="14">
        <f t="shared" si="0"/>
        <v>1.0004114117467395</v>
      </c>
      <c r="G14" s="13">
        <f>IF(Officer!$E$22&lt;A13,IF(Officer!$E$22&gt;A14,A13-Officer!$E$22,A13-A14),0)</f>
        <v>43</v>
      </c>
      <c r="H14" s="14">
        <f t="shared" si="35"/>
        <v>1.0004114117467395</v>
      </c>
      <c r="I14" s="13">
        <f>IF(Officer!$F$22&lt;A13,IF(Officer!$F$22&gt;A14,A13-Officer!$F$22,A13-A14),0)</f>
        <v>43</v>
      </c>
      <c r="J14" s="14">
        <f t="shared" si="36"/>
        <v>1.0004114117467395</v>
      </c>
      <c r="K14" s="13">
        <f>IF(Officer!$G$22&lt;A13,IF(Officer!$G$22&gt;A14,A13-Officer!$G$22,A13-A14),0)</f>
        <v>43</v>
      </c>
      <c r="L14" s="14">
        <f t="shared" si="37"/>
        <v>1.0004114117467395</v>
      </c>
      <c r="M14" s="13">
        <f>IF(Officer!$H$22&lt;A13,IF(Officer!$H$22&gt;A14,A13-Officer!$H$22,A13-A14),0)</f>
        <v>43</v>
      </c>
      <c r="N14" s="14">
        <f t="shared" si="38"/>
        <v>1.0004114117467395</v>
      </c>
      <c r="O14" s="13">
        <f>IF(Officer!$I$22&lt;A13,IF(Officer!$I$22&gt;A14,A13-Officer!$I$22,A13-A14),0)</f>
        <v>43</v>
      </c>
      <c r="P14" s="14">
        <f t="shared" si="40"/>
        <v>1.0004114117467395</v>
      </c>
    </row>
    <row r="15" spans="1:18">
      <c r="A15" s="11">
        <v>44159</v>
      </c>
      <c r="B15" s="15">
        <v>1.0015000000000001</v>
      </c>
      <c r="C15" s="13">
        <f>IF(Officer!$C$22&lt;A14,IF(Officer!$C$22&gt;A15,A14-Officer!$C$22,A14-A15),0)</f>
        <v>400</v>
      </c>
      <c r="D15" s="14">
        <f t="shared" si="34"/>
        <v>1.0016428276352789</v>
      </c>
      <c r="E15" s="13">
        <f>IF(Officer!$D$22&lt;A14,IF(Officer!$D$22&gt;A15,A14-Officer!$D$22,A14-A15),0)</f>
        <v>400</v>
      </c>
      <c r="F15" s="14">
        <f t="shared" si="0"/>
        <v>1.0016428276352789</v>
      </c>
      <c r="G15" s="13">
        <f>IF(Officer!$E$22&lt;A14,IF(Officer!$E$22&gt;A15,A14-Officer!$E$22,A14-A15),0)</f>
        <v>400</v>
      </c>
      <c r="H15" s="14">
        <f t="shared" si="35"/>
        <v>1.0016428276352789</v>
      </c>
      <c r="I15" s="13">
        <f>IF(Officer!$F$22&lt;A14,IF(Officer!$F$22&gt;A15,A14-Officer!$F$22,A14-A15),0)</f>
        <v>400</v>
      </c>
      <c r="J15" s="14">
        <f t="shared" si="36"/>
        <v>1.0016428276352789</v>
      </c>
      <c r="K15" s="13">
        <f>IF(Officer!$G$22&lt;A14,IF(Officer!$G$22&gt;A15,A14-Officer!$G$22,A14-A15),0)</f>
        <v>400</v>
      </c>
      <c r="L15" s="14">
        <f t="shared" si="37"/>
        <v>1.0016428276352789</v>
      </c>
      <c r="M15" s="13">
        <f>IF(Officer!$H$22&lt;A14,IF(Officer!$H$22&gt;A15,A14-Officer!$H$22,A14-A15),0)</f>
        <v>400</v>
      </c>
      <c r="N15" s="14">
        <f t="shared" si="38"/>
        <v>1.0016428276352789</v>
      </c>
      <c r="O15" s="13">
        <f>IF(Officer!$I$22&lt;A14,IF(Officer!$I$22&gt;A15,A14-Officer!$I$22,A14-A15),0)</f>
        <v>272.5</v>
      </c>
      <c r="P15" s="14">
        <f t="shared" si="40"/>
        <v>1.001118883508872</v>
      </c>
    </row>
    <row r="16" spans="1:18">
      <c r="A16" s="11">
        <v>43374</v>
      </c>
      <c r="B16" s="15">
        <v>1.01</v>
      </c>
      <c r="C16" s="13">
        <f>IF(Officer!$C$22&lt;A15,IF(Officer!$C$22&gt;A16,A15-Officer!$C$22,A15-A16),0)</f>
        <v>785</v>
      </c>
      <c r="D16" s="14">
        <f t="shared" si="34"/>
        <v>1.0216156851265583</v>
      </c>
      <c r="E16" s="13">
        <f>IF(Officer!$D$22&lt;A15,IF(Officer!$D$22&gt;A16,A15-Officer!$D$22,A15-A16),0)</f>
        <v>785</v>
      </c>
      <c r="F16" s="14">
        <f t="shared" si="0"/>
        <v>1.0216156851265583</v>
      </c>
      <c r="G16" s="13">
        <f>IF(Officer!$E$22&lt;A15,IF(Officer!$E$22&gt;A16,A15-Officer!$E$22,A15-A16),0)</f>
        <v>785</v>
      </c>
      <c r="H16" s="14">
        <f t="shared" si="35"/>
        <v>1.0216156851265583</v>
      </c>
      <c r="I16" s="13">
        <f>IF(Officer!$F$22&lt;A15,IF(Officer!$F$22&gt;A16,A15-Officer!$F$22,A15-A16),0)</f>
        <v>785</v>
      </c>
      <c r="J16" s="14">
        <f t="shared" si="36"/>
        <v>1.0216156851265583</v>
      </c>
      <c r="K16" s="13">
        <f>IF(Officer!$G$22&lt;A15,IF(Officer!$G$22&gt;A16,A15-Officer!$G$22,A15-A16),0)</f>
        <v>603.5</v>
      </c>
      <c r="L16" s="14">
        <f t="shared" si="37"/>
        <v>1.0165767562033723</v>
      </c>
      <c r="M16" s="13">
        <f>IF(Officer!$H$22&lt;A15,IF(Officer!$H$22&gt;A16,A15-Officer!$H$22,A15-A16),0)</f>
        <v>237.5</v>
      </c>
      <c r="N16" s="14">
        <f t="shared" si="38"/>
        <v>1.0064910750794251</v>
      </c>
      <c r="O16" s="13">
        <f>IF(Officer!$I$22&lt;A15,IF(Officer!$I$22&gt;A16,A15-Officer!$I$22,A15-A16),0)</f>
        <v>0</v>
      </c>
      <c r="P16" s="14">
        <f t="shared" si="40"/>
        <v>1</v>
      </c>
    </row>
    <row r="17" spans="1:16">
      <c r="A17" s="11">
        <v>43070</v>
      </c>
      <c r="B17" s="15">
        <v>1.0095000000000001</v>
      </c>
      <c r="C17" s="13">
        <f>IF(Officer!$C$22&lt;A16,IF(Officer!$C$22&gt;A17,A16-Officer!$C$22,A16-A17),0)</f>
        <v>304</v>
      </c>
      <c r="D17" s="14">
        <f t="shared" si="34"/>
        <v>1.0079006380429596</v>
      </c>
      <c r="E17" s="13">
        <f>IF(Officer!$D$22&lt;A16,IF(Officer!$D$22&gt;A17,A16-Officer!$D$22,A16-A17),0)</f>
        <v>304</v>
      </c>
      <c r="F17" s="14">
        <f t="shared" si="0"/>
        <v>1.0079006380429596</v>
      </c>
      <c r="G17" s="13">
        <f>IF(Officer!$E$22&lt;A16,IF(Officer!$E$22&gt;A17,A16-Officer!$E$22,A16-A17),0)</f>
        <v>304</v>
      </c>
      <c r="H17" s="14">
        <f t="shared" si="35"/>
        <v>1.0079006380429596</v>
      </c>
      <c r="I17" s="13">
        <f>IF(Officer!$F$22&lt;A16,IF(Officer!$F$22&gt;A17,A16-Officer!$F$22,A16-A17),0)</f>
        <v>183.5</v>
      </c>
      <c r="J17" s="14">
        <f t="shared" si="36"/>
        <v>1.0047615305775157</v>
      </c>
      <c r="K17" s="13">
        <f>IF(Officer!$G$22&lt;A16,IF(Officer!$G$22&gt;A17,A16-Officer!$G$22,A16-A17),0)</f>
        <v>0</v>
      </c>
      <c r="L17" s="14">
        <f t="shared" si="37"/>
        <v>1</v>
      </c>
      <c r="M17" s="13">
        <f>IF(Officer!$H$22&lt;A16,IF(Officer!$H$22&gt;A17,A16-Officer!$H$22,A16-A17),0)</f>
        <v>0</v>
      </c>
      <c r="N17" s="14">
        <f t="shared" si="38"/>
        <v>1</v>
      </c>
      <c r="O17" s="13">
        <f>IF(Officer!$I$22&lt;A16,IF(Officer!$I$22&gt;A17,A16-Officer!$I$22,A16-A17),0)</f>
        <v>0</v>
      </c>
      <c r="P17" s="14">
        <f t="shared" si="40"/>
        <v>1</v>
      </c>
    </row>
    <row r="18" spans="1:16">
      <c r="A18" s="11">
        <v>42856</v>
      </c>
      <c r="B18" s="15">
        <v>1.0069999999999999</v>
      </c>
      <c r="C18" s="13">
        <f>IF(Officer!$C$22&lt;A17,IF(Officer!$C$22&gt;A18,A17-Officer!$C$22,A17-A18),0)</f>
        <v>214</v>
      </c>
      <c r="D18" s="14">
        <f t="shared" si="34"/>
        <v>1.0040953757911364</v>
      </c>
      <c r="E18" s="13">
        <f>IF(Officer!$D$22&lt;A17,IF(Officer!$D$22&gt;A18,A17-Officer!$D$22,A17-A18),0)</f>
        <v>214</v>
      </c>
      <c r="F18" s="14">
        <f t="shared" si="0"/>
        <v>1.0040953757911364</v>
      </c>
      <c r="G18" s="13">
        <f>IF(Officer!$E$22&lt;A17,IF(Officer!$E$22&gt;A18,A17-Officer!$E$22,A17-A18),0)</f>
        <v>214</v>
      </c>
      <c r="H18" s="14">
        <f t="shared" si="35"/>
        <v>1.0040953757911364</v>
      </c>
      <c r="I18" s="13">
        <f>IF(Officer!$F$22&lt;A17,IF(Officer!$F$22&gt;A18,A17-Officer!$F$22,A17-A18),0)</f>
        <v>0</v>
      </c>
      <c r="J18" s="14">
        <f t="shared" si="36"/>
        <v>1</v>
      </c>
      <c r="K18" s="13">
        <f>IF(Officer!$G$22&lt;A17,IF(Officer!$G$22&gt;A18,A17-Officer!$G$22,A17-A18),0)</f>
        <v>0</v>
      </c>
      <c r="L18" s="14">
        <f t="shared" si="37"/>
        <v>1</v>
      </c>
      <c r="M18" s="13">
        <f>IF(Officer!$H$22&lt;A17,IF(Officer!$H$22&gt;A18,A17-Officer!$H$22,A17-A18),0)</f>
        <v>0</v>
      </c>
      <c r="N18" s="14">
        <f t="shared" si="38"/>
        <v>1</v>
      </c>
      <c r="O18" s="13">
        <f>IF(Officer!$I$22&lt;A17,IF(Officer!$I$22&gt;A18,A17-Officer!$I$22,A17-A18),0)</f>
        <v>0</v>
      </c>
      <c r="P18" s="14">
        <f t="shared" si="40"/>
        <v>1</v>
      </c>
    </row>
    <row r="19" spans="1:16">
      <c r="A19" s="11">
        <v>42527</v>
      </c>
      <c r="B19" s="15">
        <v>1.008</v>
      </c>
      <c r="C19" s="13">
        <f>IF(Officer!$C$22&lt;A18,IF(Officer!$C$22&gt;A19,A18-Officer!$C$22,A18-A19),0)</f>
        <v>329</v>
      </c>
      <c r="D19" s="14">
        <f t="shared" si="34"/>
        <v>1.0072031709149722</v>
      </c>
      <c r="E19" s="13">
        <f>IF(Officer!$D$22&lt;A18,IF(Officer!$D$22&gt;A19,A18-Officer!$D$22,A18-A19),0)</f>
        <v>329</v>
      </c>
      <c r="F19" s="14">
        <f t="shared" si="0"/>
        <v>1.0072031709149722</v>
      </c>
      <c r="G19" s="13">
        <f>IF(Officer!$E$22&lt;A18,IF(Officer!$E$22&gt;A19,A18-Officer!$E$22,A18-A19),0)</f>
        <v>30.5</v>
      </c>
      <c r="H19" s="14">
        <f t="shared" si="35"/>
        <v>1.0006655990289441</v>
      </c>
      <c r="I19" s="13">
        <f>IF(Officer!$F$22&lt;A18,IF(Officer!$F$22&gt;A19,A18-Officer!$F$22,A18-A19),0)</f>
        <v>0</v>
      </c>
      <c r="J19" s="14">
        <f t="shared" si="36"/>
        <v>1</v>
      </c>
      <c r="K19" s="13">
        <f>IF(Officer!$G$22&lt;A18,IF(Officer!$G$22&gt;A19,A18-Officer!$G$22,A18-A19),0)</f>
        <v>0</v>
      </c>
      <c r="L19" s="14">
        <f t="shared" si="37"/>
        <v>1</v>
      </c>
      <c r="M19" s="13">
        <f>IF(Officer!$H$22&lt;A18,IF(Officer!$H$22&gt;A19,A18-Officer!$H$22,A18-A19),0)</f>
        <v>0</v>
      </c>
      <c r="N19" s="14">
        <f t="shared" si="38"/>
        <v>1</v>
      </c>
      <c r="O19" s="13">
        <f>IF(Officer!$I$22&lt;A18,IF(Officer!$I$22&gt;A19,A18-Officer!$I$22,A18-A19),0)</f>
        <v>0</v>
      </c>
      <c r="P19" s="14">
        <f t="shared" si="40"/>
        <v>1</v>
      </c>
    </row>
    <row r="20" spans="1:16">
      <c r="A20" s="11">
        <v>42095</v>
      </c>
      <c r="B20" s="15">
        <v>1.0109999999999999</v>
      </c>
      <c r="C20" s="13">
        <f>IF(Officer!$C$22&lt;A19,IF(Officer!$C$22&gt;A20,A19-Officer!$C$22,A19-A20),0)</f>
        <v>432</v>
      </c>
      <c r="D20" s="14">
        <f t="shared" si="34"/>
        <v>1.0130233050034256</v>
      </c>
      <c r="E20" s="13">
        <f>IF(Officer!$D$22&lt;A19,IF(Officer!$D$22&gt;A20,A19-Officer!$D$22,A19-A20),0)</f>
        <v>66.5</v>
      </c>
      <c r="F20" s="14">
        <f t="shared" si="0"/>
        <v>1.001993787866178</v>
      </c>
      <c r="G20" s="13">
        <f>IF(Officer!$E$22&lt;A19,IF(Officer!$E$22&gt;A20,A19-Officer!$E$22,A19-A20),0)</f>
        <v>0</v>
      </c>
      <c r="H20" s="14">
        <f t="shared" si="35"/>
        <v>1</v>
      </c>
      <c r="I20" s="13">
        <f>IF(Officer!$F$22&lt;A19,IF(Officer!$F$22&gt;A20,A19-Officer!$F$22,A19-A20),0)</f>
        <v>0</v>
      </c>
      <c r="J20" s="14">
        <f t="shared" si="36"/>
        <v>1</v>
      </c>
      <c r="K20" s="13">
        <f>IF(Officer!$G$22&lt;A19,IF(Officer!$G$22&gt;A20,A19-Officer!$G$22,A19-A20),0)</f>
        <v>0</v>
      </c>
      <c r="L20" s="14">
        <f t="shared" si="37"/>
        <v>1</v>
      </c>
      <c r="M20" s="13">
        <f>IF(Officer!$H$22&lt;A19,IF(Officer!$H$22&gt;A20,A19-Officer!$H$22,A19-A20),0)</f>
        <v>0</v>
      </c>
      <c r="N20" s="14">
        <f t="shared" si="38"/>
        <v>1</v>
      </c>
      <c r="O20" s="13">
        <f>IF(Officer!$I$22&lt;A19,IF(Officer!$I$22&gt;A20,A19-Officer!$I$22,A19-A20),0)</f>
        <v>0</v>
      </c>
      <c r="P20" s="14">
        <f t="shared" si="40"/>
        <v>1</v>
      </c>
    </row>
    <row r="21" spans="1:16">
      <c r="D21" s="14">
        <f ca="1">D2*D3*D4*D5*D6*D7*D8*D9*D10*D11*D12*D13*D14*D15*D16*D17*D18*D19*D20</f>
        <v>1.1905990583047539</v>
      </c>
      <c r="E21" s="14"/>
      <c r="F21" s="14">
        <f t="shared" ref="F21:P21" ca="1" si="41">F2*F3*F4*F5*F6*F7*F8*F9*F10*F11*F12*F13*F14*F15*F16*F17*F18*F19*F20</f>
        <v>1.1776361455540756</v>
      </c>
      <c r="G21" s="14"/>
      <c r="H21" s="14">
        <f t="shared" ca="1" si="41"/>
        <v>1.1676642495350322</v>
      </c>
      <c r="I21" s="14"/>
      <c r="J21" s="14">
        <f t="shared" ca="1" si="41"/>
        <v>1.1585087691220839</v>
      </c>
      <c r="K21" s="14"/>
      <c r="L21" s="14">
        <f t="shared" ca="1" si="41"/>
        <v>1.1473315861509017</v>
      </c>
      <c r="M21" s="14"/>
      <c r="N21" s="14">
        <f t="shared" ca="1" si="41"/>
        <v>1.1359486576600248</v>
      </c>
      <c r="O21" s="14"/>
      <c r="P21" s="14">
        <f t="shared" ca="1" si="41"/>
        <v>1.1280323177305505</v>
      </c>
    </row>
    <row r="22" spans="1:16">
      <c r="L22" s="16"/>
    </row>
    <row r="23" spans="1:16">
      <c r="B23" s="5"/>
      <c r="L23" s="16"/>
    </row>
    <row r="24" spans="1:16">
      <c r="L24" s="16"/>
    </row>
    <row r="25" spans="1:16">
      <c r="L25" s="16"/>
    </row>
  </sheetData>
  <pageMargins left="0.7" right="0.7" top="0.75" bottom="0.75" header="0.3" footer="0.3"/>
  <ignoredErrors>
    <ignoredError sqref="D7:H11 I7:J11 I20:J20 I12:J19 K20 K7:K11 K12:O19 L7:O11 L20:O20 D2:O2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827B4-BE21-4E9F-A08E-5ED92AA0D096}">
  <sheetPr codeName="Sheet2"/>
  <dimension ref="A1:R13"/>
  <sheetViews>
    <sheetView zoomScale="120" zoomScaleNormal="120" workbookViewId="0">
      <selection activeCell="C26" sqref="C26"/>
    </sheetView>
  </sheetViews>
  <sheetFormatPr defaultRowHeight="15"/>
  <cols>
    <col min="14" max="14" width="9.5703125" customWidth="1"/>
    <col min="16" max="18" width="10.7109375" bestFit="1" customWidth="1"/>
  </cols>
  <sheetData>
    <row r="1" spans="1:18">
      <c r="A1" t="s">
        <v>17</v>
      </c>
      <c r="B1">
        <v>0</v>
      </c>
      <c r="D1" t="s">
        <v>59</v>
      </c>
      <c r="E1" t="s">
        <v>60</v>
      </c>
      <c r="F1" t="s">
        <v>61</v>
      </c>
      <c r="G1" t="s">
        <v>62</v>
      </c>
      <c r="K1" s="1">
        <v>0</v>
      </c>
      <c r="L1" s="1">
        <v>0.2</v>
      </c>
      <c r="M1" s="1">
        <v>0.4</v>
      </c>
      <c r="N1" s="1">
        <v>0.45</v>
      </c>
      <c r="P1" t="s">
        <v>63</v>
      </c>
      <c r="Q1" s="5">
        <f ca="1">TODAY()</f>
        <v>46087</v>
      </c>
      <c r="R1" s="5">
        <f ca="1">Q1+28</f>
        <v>46115</v>
      </c>
    </row>
    <row r="2" spans="1:18">
      <c r="A2" t="s">
        <v>64</v>
      </c>
      <c r="B2">
        <v>1</v>
      </c>
      <c r="D2">
        <v>1</v>
      </c>
      <c r="E2">
        <v>0</v>
      </c>
      <c r="F2">
        <v>15431.99</v>
      </c>
      <c r="G2" s="1">
        <v>0.05</v>
      </c>
      <c r="J2" s="3" t="s">
        <v>3</v>
      </c>
      <c r="K2" s="4">
        <v>10600</v>
      </c>
      <c r="L2" s="3">
        <v>42385</v>
      </c>
      <c r="M2" s="3">
        <v>150000</v>
      </c>
      <c r="N2" s="2"/>
      <c r="P2" s="1">
        <v>0.14380000000000001</v>
      </c>
    </row>
    <row r="3" spans="1:18">
      <c r="B3">
        <v>2</v>
      </c>
      <c r="D3">
        <v>2</v>
      </c>
      <c r="E3">
        <v>15432</v>
      </c>
      <c r="F3">
        <v>21477.99</v>
      </c>
      <c r="G3" s="1">
        <v>5.6000000000000001E-2</v>
      </c>
      <c r="J3" s="3" t="s">
        <v>4</v>
      </c>
      <c r="K3" s="4">
        <v>11000</v>
      </c>
      <c r="L3" s="3">
        <v>43000</v>
      </c>
      <c r="M3" s="3">
        <v>150000</v>
      </c>
      <c r="N3" s="2"/>
      <c r="P3" s="1">
        <v>0.20599999999999999</v>
      </c>
    </row>
    <row r="4" spans="1:18">
      <c r="B4">
        <v>3</v>
      </c>
      <c r="D4">
        <v>3</v>
      </c>
      <c r="E4">
        <v>21478</v>
      </c>
      <c r="F4">
        <v>26823.99</v>
      </c>
      <c r="G4" s="1">
        <v>7.0999999999999994E-2</v>
      </c>
      <c r="J4" s="3" t="s">
        <v>5</v>
      </c>
      <c r="K4" s="4">
        <v>11500</v>
      </c>
      <c r="L4" s="3">
        <v>43000</v>
      </c>
      <c r="M4" s="3">
        <v>150000</v>
      </c>
      <c r="N4" s="2"/>
    </row>
    <row r="5" spans="1:18">
      <c r="B5">
        <v>4</v>
      </c>
      <c r="D5">
        <v>4</v>
      </c>
      <c r="E5">
        <v>26824</v>
      </c>
      <c r="F5">
        <v>47846</v>
      </c>
      <c r="G5" s="1">
        <v>9.2999999999999999E-2</v>
      </c>
      <c r="N5" s="2"/>
    </row>
    <row r="6" spans="1:18">
      <c r="B6">
        <v>5</v>
      </c>
      <c r="D6">
        <v>5</v>
      </c>
      <c r="E6">
        <v>47846</v>
      </c>
      <c r="F6">
        <v>70630.990000000005</v>
      </c>
      <c r="G6" s="1">
        <v>0.125</v>
      </c>
      <c r="K6" s="1">
        <v>0</v>
      </c>
      <c r="L6" s="1">
        <v>0.19</v>
      </c>
      <c r="M6" s="1">
        <v>0.2</v>
      </c>
      <c r="N6" s="1">
        <v>0.21</v>
      </c>
      <c r="O6" s="1">
        <v>0.41</v>
      </c>
      <c r="P6" s="1">
        <v>0.46</v>
      </c>
    </row>
    <row r="7" spans="1:18">
      <c r="B7">
        <v>6</v>
      </c>
      <c r="D7">
        <v>6</v>
      </c>
      <c r="E7">
        <v>70631</v>
      </c>
      <c r="F7">
        <v>111376.99</v>
      </c>
      <c r="G7" s="1">
        <v>0.13500000000000001</v>
      </c>
      <c r="J7" s="3" t="s">
        <v>6</v>
      </c>
      <c r="K7" s="4">
        <v>11850</v>
      </c>
      <c r="L7" s="3">
        <v>13850</v>
      </c>
      <c r="M7" s="3">
        <v>24000</v>
      </c>
      <c r="N7" s="6">
        <v>43430</v>
      </c>
      <c r="O7" s="3">
        <v>150000</v>
      </c>
    </row>
    <row r="8" spans="1:18">
      <c r="B8">
        <v>7</v>
      </c>
      <c r="D8">
        <v>7</v>
      </c>
      <c r="E8">
        <v>111377</v>
      </c>
      <c r="F8">
        <v>999999</v>
      </c>
      <c r="G8" s="1">
        <v>0.14499999999999999</v>
      </c>
      <c r="J8" s="3" t="s">
        <v>7</v>
      </c>
      <c r="K8" s="4">
        <v>12500</v>
      </c>
      <c r="L8" s="3">
        <v>14549</v>
      </c>
      <c r="M8" s="3">
        <v>24944</v>
      </c>
      <c r="N8" s="6">
        <v>43430</v>
      </c>
      <c r="O8" s="3">
        <v>150000</v>
      </c>
    </row>
    <row r="9" spans="1:18">
      <c r="B9">
        <v>8</v>
      </c>
      <c r="J9" s="3" t="s">
        <v>8</v>
      </c>
      <c r="K9" s="4">
        <v>12500</v>
      </c>
      <c r="L9" s="3">
        <v>14858</v>
      </c>
      <c r="M9" s="3">
        <v>25158</v>
      </c>
      <c r="N9" s="3">
        <v>43430</v>
      </c>
      <c r="O9" s="3">
        <v>150000</v>
      </c>
    </row>
    <row r="10" spans="1:18">
      <c r="B10">
        <v>9</v>
      </c>
      <c r="J10" s="3" t="s">
        <v>9</v>
      </c>
      <c r="K10" s="4">
        <v>12570</v>
      </c>
      <c r="L10" s="3">
        <v>14667</v>
      </c>
      <c r="M10" s="3">
        <v>25296</v>
      </c>
      <c r="N10" s="3">
        <v>43662</v>
      </c>
      <c r="O10" s="3">
        <v>150000</v>
      </c>
    </row>
    <row r="11" spans="1:18">
      <c r="B11">
        <v>10</v>
      </c>
    </row>
    <row r="12" spans="1:18">
      <c r="B12">
        <v>11</v>
      </c>
    </row>
    <row r="13" spans="1:18">
      <c r="B13">
        <v>12</v>
      </c>
    </row>
  </sheetData>
  <sheetProtection sheet="1" objects="1" scenarios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CEFE3F2A70A774AA81C66F54E7BF471" ma:contentTypeVersion="11" ma:contentTypeDescription="Create a new document." ma:contentTypeScope="" ma:versionID="75ffbc93104a7043ad232e140e71bc6a">
  <xsd:schema xmlns:xsd="http://www.w3.org/2001/XMLSchema" xmlns:xs="http://www.w3.org/2001/XMLSchema" xmlns:p="http://schemas.microsoft.com/office/2006/metadata/properties" xmlns:ns2="9c395806-f6fc-4c4c-8f7e-33fb8178eadb" xmlns:ns3="eede4106-cd7d-483e-b9ea-54a8c446956c" targetNamespace="http://schemas.microsoft.com/office/2006/metadata/properties" ma:root="true" ma:fieldsID="417a6d2b3e4e6a9d8420519d1582d8cc" ns2:_="" ns3:_="">
    <xsd:import namespace="9c395806-f6fc-4c4c-8f7e-33fb8178eadb"/>
    <xsd:import namespace="eede4106-cd7d-483e-b9ea-54a8c446956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395806-f6fc-4c4c-8f7e-33fb8178ea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02b69053-c3fb-47ab-9000-5ac769dc75f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de4106-cd7d-483e-b9ea-54a8c446956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8c870a86-258a-4c54-9a06-0f68ecaadddf}" ma:internalName="TaxCatchAll" ma:showField="CatchAllData" ma:web="eede4106-cd7d-483e-b9ea-54a8c446956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395806-f6fc-4c4c-8f7e-33fb8178eadb">
      <Terms xmlns="http://schemas.microsoft.com/office/infopath/2007/PartnerControls"/>
    </lcf76f155ced4ddcb4097134ff3c332f>
    <TaxCatchAll xmlns="eede4106-cd7d-483e-b9ea-54a8c446956c" xsi:nil="true"/>
  </documentManagement>
</p:properties>
</file>

<file path=customXml/itemProps1.xml><?xml version="1.0" encoding="utf-8"?>
<ds:datastoreItem xmlns:ds="http://schemas.openxmlformats.org/officeDocument/2006/customXml" ds:itemID="{59D5B588-B154-4327-AA7E-3F6993FA7B56}"/>
</file>

<file path=customXml/itemProps2.xml><?xml version="1.0" encoding="utf-8"?>
<ds:datastoreItem xmlns:ds="http://schemas.openxmlformats.org/officeDocument/2006/customXml" ds:itemID="{A3FAE88F-B646-4AA7-8F3A-939F4C86B7FB}"/>
</file>

<file path=customXml/itemProps3.xml><?xml version="1.0" encoding="utf-8"?>
<ds:datastoreItem xmlns:ds="http://schemas.openxmlformats.org/officeDocument/2006/customXml" ds:itemID="{E52EAD9D-B82E-4089-AE29-0FC1A3D53B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NHSBSA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NHS Pensions-Buy back cost calculator-officers Scotland</dc:title>
  <dc:subject/>
  <dc:creator>Peter Anderson</dc:creator>
  <cp:keywords/>
  <dc:description/>
  <cp:lastModifiedBy>Beverley Battersby</cp:lastModifiedBy>
  <cp:revision/>
  <dcterms:created xsi:type="dcterms:W3CDTF">2023-09-11T15:51:39Z</dcterms:created>
  <dcterms:modified xsi:type="dcterms:W3CDTF">2026-03-06T11:19:54Z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0x010100BCEFE3F2A70A774AA81C66F54E7BF471</vt:lpwstr>
  </property>
  <property fmtid="{D5CDD505-2E9C-101B-9397-08002B2CF9AE}" pid="3" name="MediaServiceImageTags">
    <vt:lpwstr/>
  </property>
</Properties>
</file>