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nhsbsauk.sharepoint.com/teams/BIDM/Shared Documents/General/8. DMR Document Management Review Files/Requests and Reviews/2025 June to December/McCloud projects/250691/Final/"/>
    </mc:Choice>
  </mc:AlternateContent>
  <xr:revisionPtr revIDLastSave="104" documentId="8_{16F3DA99-94FF-4E04-9B0D-2130EBE3AFC4}" xr6:coauthVersionLast="47" xr6:coauthVersionMax="47" xr10:uidLastSave="{6596E003-D01A-43DB-B707-F31981892025}"/>
  <bookViews>
    <workbookView xWindow="28680" yWindow="-120" windowWidth="29040" windowHeight="15720" xr2:uid="{CDBE15FF-A30A-4413-A6BC-3AD30F84C677}"/>
  </bookViews>
  <sheets>
    <sheet name="Practitioner" sheetId="3" r:id="rId1"/>
    <sheet name="Sheet1" sheetId="4" state="hidden" r:id="rId2"/>
    <sheet name="Sheet2" sheetId="2" state="hidden" r:id="rId3"/>
  </sheets>
  <definedNames>
    <definedName name="_xlnm.Print_Area" localSheetId="0">Practitioner!$A$1:$H$51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4" l="1"/>
  <c r="D3" i="4"/>
  <c r="E3" i="4"/>
  <c r="F3" i="4"/>
  <c r="G3" i="4"/>
  <c r="H3" i="4"/>
  <c r="I3" i="4"/>
  <c r="J3" i="4"/>
  <c r="K3" i="4"/>
  <c r="L3" i="4"/>
  <c r="M3" i="4"/>
  <c r="N3" i="4"/>
  <c r="O3" i="4"/>
  <c r="P3" i="4"/>
  <c r="C4" i="4"/>
  <c r="D4" i="4"/>
  <c r="E4" i="4"/>
  <c r="F4" i="4"/>
  <c r="G4" i="4"/>
  <c r="H4" i="4"/>
  <c r="I4" i="4"/>
  <c r="J4" i="4"/>
  <c r="K4" i="4"/>
  <c r="L4" i="4"/>
  <c r="M4" i="4"/>
  <c r="N4" i="4"/>
  <c r="O4" i="4"/>
  <c r="P4" i="4"/>
  <c r="C5" i="4"/>
  <c r="D5" i="4"/>
  <c r="E5" i="4"/>
  <c r="F5" i="4"/>
  <c r="G5" i="4"/>
  <c r="H5" i="4"/>
  <c r="I5" i="4"/>
  <c r="J5" i="4"/>
  <c r="K5" i="4"/>
  <c r="L5" i="4"/>
  <c r="M5" i="4"/>
  <c r="N5" i="4"/>
  <c r="O5" i="4"/>
  <c r="P5" i="4"/>
  <c r="U16" i="2"/>
  <c r="U15" i="2"/>
  <c r="U14" i="2"/>
  <c r="U13" i="2"/>
  <c r="U12" i="2"/>
  <c r="U11" i="2"/>
  <c r="U10" i="2"/>
  <c r="U9" i="2"/>
  <c r="U8" i="2"/>
  <c r="U7" i="2"/>
  <c r="U6" i="2"/>
  <c r="U5" i="2"/>
  <c r="U4" i="2"/>
  <c r="U3" i="2"/>
  <c r="W1" i="2"/>
  <c r="U2" i="2" s="1"/>
  <c r="O11" i="4"/>
  <c r="P11" i="4" s="1"/>
  <c r="M11" i="4"/>
  <c r="N11" i="4" s="1"/>
  <c r="L11" i="4"/>
  <c r="K11" i="4"/>
  <c r="I11" i="4"/>
  <c r="J11" i="4" s="1"/>
  <c r="H11" i="4"/>
  <c r="G11" i="4"/>
  <c r="E11" i="4"/>
  <c r="F11" i="4" s="1"/>
  <c r="C11" i="4"/>
  <c r="D11" i="4" s="1"/>
  <c r="O10" i="4"/>
  <c r="P10" i="4" s="1"/>
  <c r="N10" i="4"/>
  <c r="M10" i="4"/>
  <c r="K10" i="4"/>
  <c r="L10" i="4" s="1"/>
  <c r="J10" i="4"/>
  <c r="I10" i="4"/>
  <c r="G10" i="4"/>
  <c r="H10" i="4" s="1"/>
  <c r="E10" i="4"/>
  <c r="F10" i="4" s="1"/>
  <c r="C10" i="4"/>
  <c r="D10" i="4" s="1"/>
  <c r="P9" i="4"/>
  <c r="O9" i="4"/>
  <c r="M9" i="4"/>
  <c r="N9" i="4" s="1"/>
  <c r="L9" i="4"/>
  <c r="K9" i="4"/>
  <c r="I9" i="4"/>
  <c r="J9" i="4" s="1"/>
  <c r="G9" i="4"/>
  <c r="H9" i="4" s="1"/>
  <c r="E9" i="4"/>
  <c r="F9" i="4" s="1"/>
  <c r="D9" i="4"/>
  <c r="C9" i="4"/>
  <c r="O8" i="4"/>
  <c r="P8" i="4" s="1"/>
  <c r="N8" i="4"/>
  <c r="M8" i="4"/>
  <c r="K8" i="4"/>
  <c r="L8" i="4" s="1"/>
  <c r="I8" i="4"/>
  <c r="J8" i="4" s="1"/>
  <c r="G8" i="4"/>
  <c r="H8" i="4" s="1"/>
  <c r="F8" i="4"/>
  <c r="E8" i="4"/>
  <c r="C8" i="4"/>
  <c r="D8" i="4" s="1"/>
  <c r="P7" i="4"/>
  <c r="O7" i="4"/>
  <c r="M7" i="4"/>
  <c r="N7" i="4" s="1"/>
  <c r="K7" i="4"/>
  <c r="L7" i="4" s="1"/>
  <c r="I7" i="4"/>
  <c r="J7" i="4" s="1"/>
  <c r="H7" i="4"/>
  <c r="G7" i="4"/>
  <c r="E7" i="4"/>
  <c r="F7" i="4" s="1"/>
  <c r="D7" i="4"/>
  <c r="C7" i="4"/>
  <c r="O6" i="4"/>
  <c r="P6" i="4" s="1"/>
  <c r="M6" i="4"/>
  <c r="N6" i="4" s="1"/>
  <c r="K6" i="4"/>
  <c r="L6" i="4" s="1"/>
  <c r="J6" i="4"/>
  <c r="I6" i="4"/>
  <c r="G6" i="4"/>
  <c r="H6" i="4" s="1"/>
  <c r="F6" i="4"/>
  <c r="E6" i="4"/>
  <c r="C6" i="4"/>
  <c r="D6" i="4" s="1"/>
  <c r="Q1" i="4"/>
  <c r="R1" i="4" s="1"/>
  <c r="C34" i="3"/>
  <c r="B34" i="3"/>
  <c r="H15" i="3"/>
  <c r="H16" i="3" s="1"/>
  <c r="O15" i="4" s="1"/>
  <c r="P15" i="4" s="1"/>
  <c r="G15" i="3"/>
  <c r="G16" i="3" s="1"/>
  <c r="F15" i="3"/>
  <c r="F16" i="3" s="1"/>
  <c r="K12" i="4" s="1"/>
  <c r="L12" i="4" s="1"/>
  <c r="E15" i="3"/>
  <c r="E16" i="3" s="1"/>
  <c r="D15" i="3"/>
  <c r="D16" i="3" s="1"/>
  <c r="C15" i="3"/>
  <c r="C16" i="3" s="1"/>
  <c r="E20" i="4" s="1"/>
  <c r="F20" i="4" s="1"/>
  <c r="B15" i="3"/>
  <c r="B16" i="3" s="1"/>
  <c r="H13" i="3"/>
  <c r="G13" i="3"/>
  <c r="F13" i="3"/>
  <c r="E13" i="3"/>
  <c r="D13" i="3"/>
  <c r="C13" i="3"/>
  <c r="B13" i="3"/>
  <c r="E12" i="3"/>
  <c r="E29" i="3" s="1"/>
  <c r="H11" i="3"/>
  <c r="H12" i="3" s="1"/>
  <c r="G11" i="3"/>
  <c r="G12" i="3" s="1"/>
  <c r="F11" i="3"/>
  <c r="F36" i="3" s="1"/>
  <c r="F37" i="3" s="1"/>
  <c r="E11" i="3"/>
  <c r="E36" i="3" s="1"/>
  <c r="E37" i="3" s="1"/>
  <c r="D11" i="3"/>
  <c r="D36" i="3" s="1"/>
  <c r="D37" i="3" s="1"/>
  <c r="C11" i="3"/>
  <c r="C12" i="3" s="1"/>
  <c r="B11" i="3"/>
  <c r="B12" i="3" s="1"/>
  <c r="H10" i="3"/>
  <c r="G10" i="3"/>
  <c r="F10" i="3"/>
  <c r="E10" i="3"/>
  <c r="D10" i="3"/>
  <c r="C10" i="3"/>
  <c r="B10" i="3"/>
  <c r="E14" i="3" l="1"/>
  <c r="C14" i="3"/>
  <c r="O18" i="4"/>
  <c r="P18" i="4" s="1"/>
  <c r="O19" i="4"/>
  <c r="P19" i="4" s="1"/>
  <c r="O20" i="4"/>
  <c r="P20" i="4" s="1"/>
  <c r="O17" i="4"/>
  <c r="P17" i="4" s="1"/>
  <c r="O13" i="4"/>
  <c r="P13" i="4" s="1"/>
  <c r="H20" i="3"/>
  <c r="H22" i="3" s="1"/>
  <c r="H23" i="3" s="1"/>
  <c r="H24" i="3" s="1"/>
  <c r="O14" i="4"/>
  <c r="P14" i="4" s="1"/>
  <c r="O12" i="4"/>
  <c r="P12" i="4" s="1"/>
  <c r="H14" i="3"/>
  <c r="H36" i="3"/>
  <c r="H37" i="3" s="1"/>
  <c r="H39" i="3" s="1"/>
  <c r="H41" i="3" s="1"/>
  <c r="H42" i="3" s="1"/>
  <c r="H43" i="3" s="1"/>
  <c r="O16" i="4"/>
  <c r="P16" i="4" s="1"/>
  <c r="M16" i="4"/>
  <c r="N16" i="4" s="1"/>
  <c r="M14" i="4"/>
  <c r="N14" i="4" s="1"/>
  <c r="M17" i="4"/>
  <c r="N17" i="4" s="1"/>
  <c r="M13" i="4"/>
  <c r="N13" i="4" s="1"/>
  <c r="M20" i="4"/>
  <c r="N20" i="4" s="1"/>
  <c r="M15" i="4"/>
  <c r="N15" i="4" s="1"/>
  <c r="G14" i="3"/>
  <c r="M18" i="4"/>
  <c r="N18" i="4" s="1"/>
  <c r="G36" i="3"/>
  <c r="G37" i="3" s="1"/>
  <c r="G39" i="3" s="1"/>
  <c r="G20" i="3"/>
  <c r="G22" i="3" s="1"/>
  <c r="G23" i="3" s="1"/>
  <c r="G24" i="3" s="1"/>
  <c r="M12" i="4"/>
  <c r="N12" i="4" s="1"/>
  <c r="M19" i="4"/>
  <c r="N19" i="4" s="1"/>
  <c r="F12" i="3"/>
  <c r="F20" i="3" s="1"/>
  <c r="F22" i="3" s="1"/>
  <c r="F23" i="3" s="1"/>
  <c r="F24" i="3" s="1"/>
  <c r="F14" i="3"/>
  <c r="I19" i="4"/>
  <c r="J19" i="4" s="1"/>
  <c r="I18" i="4"/>
  <c r="J18" i="4" s="1"/>
  <c r="I14" i="4"/>
  <c r="J14" i="4" s="1"/>
  <c r="I13" i="4"/>
  <c r="J13" i="4" s="1"/>
  <c r="I17" i="4"/>
  <c r="J17" i="4" s="1"/>
  <c r="I16" i="4"/>
  <c r="J16" i="4" s="1"/>
  <c r="I20" i="4"/>
  <c r="J20" i="4" s="1"/>
  <c r="I12" i="4"/>
  <c r="J12" i="4" s="1"/>
  <c r="I15" i="4"/>
  <c r="J15" i="4" s="1"/>
  <c r="E20" i="3"/>
  <c r="E39" i="3"/>
  <c r="G13" i="4"/>
  <c r="H13" i="4" s="1"/>
  <c r="G14" i="4"/>
  <c r="H14" i="4" s="1"/>
  <c r="G20" i="4"/>
  <c r="H20" i="4" s="1"/>
  <c r="G16" i="4"/>
  <c r="H16" i="4" s="1"/>
  <c r="G15" i="4"/>
  <c r="H15" i="4" s="1"/>
  <c r="G12" i="4"/>
  <c r="H12" i="4" s="1"/>
  <c r="G19" i="4"/>
  <c r="H19" i="4" s="1"/>
  <c r="G18" i="4"/>
  <c r="H18" i="4" s="1"/>
  <c r="G17" i="4"/>
  <c r="H17" i="4" s="1"/>
  <c r="D12" i="3"/>
  <c r="D14" i="3"/>
  <c r="C20" i="3"/>
  <c r="C29" i="3"/>
  <c r="E18" i="4"/>
  <c r="F18" i="4" s="1"/>
  <c r="E16" i="4"/>
  <c r="F16" i="4" s="1"/>
  <c r="E12" i="4"/>
  <c r="F12" i="4" s="1"/>
  <c r="E14" i="4"/>
  <c r="F14" i="4" s="1"/>
  <c r="E19" i="4"/>
  <c r="F19" i="4" s="1"/>
  <c r="E13" i="4"/>
  <c r="F13" i="4" s="1"/>
  <c r="E17" i="4"/>
  <c r="F17" i="4" s="1"/>
  <c r="C36" i="3"/>
  <c r="C37" i="3" s="1"/>
  <c r="C39" i="3" s="1"/>
  <c r="E15" i="4"/>
  <c r="F15" i="4" s="1"/>
  <c r="B36" i="3"/>
  <c r="B37" i="3" s="1"/>
  <c r="B39" i="3" s="1"/>
  <c r="B14" i="3"/>
  <c r="B20" i="3"/>
  <c r="B29" i="3"/>
  <c r="C14" i="4"/>
  <c r="D14" i="4" s="1"/>
  <c r="C20" i="4"/>
  <c r="D20" i="4" s="1"/>
  <c r="C18" i="4"/>
  <c r="D18" i="4" s="1"/>
  <c r="C16" i="4"/>
  <c r="D16" i="4" s="1"/>
  <c r="C12" i="4"/>
  <c r="D12" i="4" s="1"/>
  <c r="C15" i="4"/>
  <c r="D15" i="4" s="1"/>
  <c r="C13" i="4"/>
  <c r="D13" i="4" s="1"/>
  <c r="C19" i="4"/>
  <c r="D19" i="4" s="1"/>
  <c r="C17" i="4"/>
  <c r="D17" i="4" s="1"/>
  <c r="K18" i="4"/>
  <c r="L18" i="4" s="1"/>
  <c r="K17" i="4"/>
  <c r="L17" i="4" s="1"/>
  <c r="K16" i="4"/>
  <c r="L16" i="4" s="1"/>
  <c r="K15" i="4"/>
  <c r="L15" i="4" s="1"/>
  <c r="K20" i="4"/>
  <c r="L20" i="4" s="1"/>
  <c r="K14" i="4"/>
  <c r="L14" i="4" s="1"/>
  <c r="K19" i="4"/>
  <c r="L19" i="4" s="1"/>
  <c r="K13" i="4"/>
  <c r="L13" i="4" s="1"/>
  <c r="G29" i="3"/>
  <c r="H29" i="3"/>
  <c r="V16" i="2"/>
  <c r="V10" i="2"/>
  <c r="V15" i="2"/>
  <c r="V9" i="2"/>
  <c r="V12" i="2"/>
  <c r="V11" i="2"/>
  <c r="V14" i="2"/>
  <c r="V13" i="2"/>
  <c r="I2" i="4"/>
  <c r="E2" i="4"/>
  <c r="O2" i="4"/>
  <c r="M2" i="4"/>
  <c r="K2" i="4"/>
  <c r="G2" i="4"/>
  <c r="C2" i="4"/>
  <c r="D2" i="4" s="1"/>
  <c r="X1" i="2"/>
  <c r="F39" i="3" l="1"/>
  <c r="F41" i="3" s="1"/>
  <c r="F42" i="3" s="1"/>
  <c r="F43" i="3" s="1"/>
  <c r="F29" i="3"/>
  <c r="F25" i="3"/>
  <c r="F26" i="3" s="1"/>
  <c r="F27" i="3" s="1"/>
  <c r="C35" i="3"/>
  <c r="B35" i="3" s="1"/>
  <c r="E41" i="3"/>
  <c r="E42" i="3" s="1"/>
  <c r="E43" i="3" s="1"/>
  <c r="E22" i="3"/>
  <c r="E23" i="3" s="1"/>
  <c r="E24" i="3" s="1"/>
  <c r="D39" i="3"/>
  <c r="D29" i="3"/>
  <c r="D20" i="3"/>
  <c r="C41" i="3"/>
  <c r="C42" i="3" s="1"/>
  <c r="C43" i="3" s="1"/>
  <c r="C22" i="3"/>
  <c r="C23" i="3" s="1"/>
  <c r="C24" i="3" s="1"/>
  <c r="C25" i="3" s="1"/>
  <c r="B22" i="3"/>
  <c r="B23" i="3" s="1"/>
  <c r="B24" i="3" s="1"/>
  <c r="B41" i="3"/>
  <c r="B42" i="3" s="1"/>
  <c r="B43" i="3" s="1"/>
  <c r="L2" i="4"/>
  <c r="L21" i="4" s="1"/>
  <c r="F17" i="3" s="1"/>
  <c r="N2" i="4"/>
  <c r="P2" i="4"/>
  <c r="F2" i="4"/>
  <c r="J2" i="4"/>
  <c r="H2" i="4"/>
  <c r="D21" i="4"/>
  <c r="B17" i="3" s="1"/>
  <c r="H44" i="3"/>
  <c r="H45" i="3" s="1"/>
  <c r="H46" i="3" s="1"/>
  <c r="G41" i="3"/>
  <c r="G42" i="3" s="1"/>
  <c r="G43" i="3" s="1"/>
  <c r="H25" i="3"/>
  <c r="H26" i="3" s="1"/>
  <c r="H27" i="3" s="1"/>
  <c r="G25" i="3"/>
  <c r="G26" i="3" s="1"/>
  <c r="G27" i="3" s="1"/>
  <c r="B18" i="3"/>
  <c r="H18" i="3"/>
  <c r="G18" i="3"/>
  <c r="F18" i="3"/>
  <c r="E18" i="3"/>
  <c r="D18" i="3"/>
  <c r="C18" i="3"/>
  <c r="F28" i="3" l="1"/>
  <c r="H48" i="3"/>
  <c r="E25" i="3"/>
  <c r="E26" i="3" s="1"/>
  <c r="E27" i="3" s="1"/>
  <c r="E44" i="3"/>
  <c r="E45" i="3" s="1"/>
  <c r="E46" i="3" s="1"/>
  <c r="D41" i="3"/>
  <c r="D42" i="3" s="1"/>
  <c r="D43" i="3" s="1"/>
  <c r="D44" i="3" s="1"/>
  <c r="D22" i="3"/>
  <c r="D23" i="3" s="1"/>
  <c r="D24" i="3" s="1"/>
  <c r="C26" i="3"/>
  <c r="C27" i="3" s="1"/>
  <c r="C44" i="3"/>
  <c r="C45" i="3" s="1"/>
  <c r="C46" i="3" s="1"/>
  <c r="B44" i="3"/>
  <c r="B45" i="3" s="1"/>
  <c r="B46" i="3" s="1"/>
  <c r="B25" i="3"/>
  <c r="B26" i="3" s="1"/>
  <c r="B27" i="3" s="1"/>
  <c r="H21" i="4"/>
  <c r="D17" i="3" s="1"/>
  <c r="J21" i="4"/>
  <c r="E17" i="3" s="1"/>
  <c r="F21" i="4"/>
  <c r="C17" i="3" s="1"/>
  <c r="N21" i="4"/>
  <c r="G17" i="3" s="1"/>
  <c r="G28" i="3" s="1"/>
  <c r="P21" i="4"/>
  <c r="H17" i="3" s="1"/>
  <c r="H28" i="3" s="1"/>
  <c r="F44" i="3"/>
  <c r="F45" i="3" s="1"/>
  <c r="F46" i="3" s="1"/>
  <c r="F48" i="3" s="1"/>
  <c r="G44" i="3"/>
  <c r="G45" i="3" s="1"/>
  <c r="G46" i="3" s="1"/>
  <c r="G48" i="3" s="1"/>
  <c r="E28" i="3" l="1"/>
  <c r="E48" i="3"/>
  <c r="D25" i="3"/>
  <c r="D26" i="3" s="1"/>
  <c r="D27" i="3" s="1"/>
  <c r="D45" i="3"/>
  <c r="D46" i="3" s="1"/>
  <c r="C28" i="3"/>
  <c r="C48" i="3"/>
  <c r="B28" i="3"/>
  <c r="B48" i="3"/>
  <c r="D28" i="3" l="1"/>
  <c r="C32" i="3" s="1"/>
  <c r="C31" i="3"/>
  <c r="D48" i="3"/>
  <c r="D50" i="3" s="1"/>
  <c r="C33" i="3" l="1"/>
</calcChain>
</file>

<file path=xl/sharedStrings.xml><?xml version="1.0" encoding="utf-8"?>
<sst xmlns="http://schemas.openxmlformats.org/spreadsheetml/2006/main" count="87" uniqueCount="62">
  <si>
    <t>Buy back cost calculator - Current self -employed Practitioner</t>
  </si>
  <si>
    <t>Scheme year</t>
  </si>
  <si>
    <t>2015/16</t>
  </si>
  <si>
    <t>2016/17</t>
  </si>
  <si>
    <t>2017/18</t>
  </si>
  <si>
    <t>2018/19</t>
  </si>
  <si>
    <t>2019/20</t>
  </si>
  <si>
    <t>2020/21</t>
  </si>
  <si>
    <t>2021/22</t>
  </si>
  <si>
    <t>Dates employed during scheme year                 From</t>
  </si>
  <si>
    <t xml:space="preserve">to       </t>
  </si>
  <si>
    <t>Buy back period (number of whole months)</t>
  </si>
  <si>
    <t>Total practitioner earnings in scheme year</t>
  </si>
  <si>
    <t>Self-employed</t>
  </si>
  <si>
    <t>No</t>
  </si>
  <si>
    <t>Tax relief applied</t>
  </si>
  <si>
    <t>Worked pays</t>
  </si>
  <si>
    <t xml:space="preserve">Monthly pay </t>
  </si>
  <si>
    <t>Contribution rate</t>
  </si>
  <si>
    <t>Date check</t>
  </si>
  <si>
    <t>Mid point from scheme year employed</t>
  </si>
  <si>
    <t>Average interest rate from mid point</t>
  </si>
  <si>
    <t>Days interest</t>
  </si>
  <si>
    <t>Gross underpayment</t>
  </si>
  <si>
    <t>Total pensionable pay - Gross overpayment</t>
  </si>
  <si>
    <t>Lower tax rate</t>
  </si>
  <si>
    <t>Amount at higher rate</t>
  </si>
  <si>
    <t>Amount at lower rate</t>
  </si>
  <si>
    <t>Tax</t>
  </si>
  <si>
    <t>Net underpayment</t>
  </si>
  <si>
    <t>Interest</t>
  </si>
  <si>
    <t>Employer contribution</t>
  </si>
  <si>
    <t>Net cost to buy back opted out service</t>
  </si>
  <si>
    <t>Total</t>
  </si>
  <si>
    <t xml:space="preserve">Annualised pay </t>
  </si>
  <si>
    <t>Additional underpayment if choose Reformed Scheme at retirement</t>
  </si>
  <si>
    <t xml:space="preserve">Additional cost if choose Reformed 2015 Scheme at retirement   </t>
  </si>
  <si>
    <t>Interest will be added to this amount until the amount is repaid</t>
  </si>
  <si>
    <t>Effective from</t>
  </si>
  <si>
    <t>NS&amp;I Rate</t>
  </si>
  <si>
    <t>2015/16 Days</t>
  </si>
  <si>
    <t>2015/16 Rate</t>
  </si>
  <si>
    <t>2016/17 Days</t>
  </si>
  <si>
    <t>2016/17 Rate</t>
  </si>
  <si>
    <t>2017/18 Days</t>
  </si>
  <si>
    <t>2017/18 Rate</t>
  </si>
  <si>
    <t>2018/19 Days</t>
  </si>
  <si>
    <t>2018/19 Rate</t>
  </si>
  <si>
    <t>2019/20 Days</t>
  </si>
  <si>
    <t>2019/20 Rate</t>
  </si>
  <si>
    <t>2020/21 Days</t>
  </si>
  <si>
    <t>2020/21 Rate</t>
  </si>
  <si>
    <t>2021/22 Days</t>
  </si>
  <si>
    <t>2021/22 Rate</t>
  </si>
  <si>
    <t>Whole</t>
  </si>
  <si>
    <t>Tier</t>
  </si>
  <si>
    <t xml:space="preserve">Lower Pay </t>
  </si>
  <si>
    <t>Upper Pay</t>
  </si>
  <si>
    <t>Rate</t>
  </si>
  <si>
    <t>Employer Rate</t>
  </si>
  <si>
    <t>Part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</si>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</sst>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£&quot;#,##0.00"/>
    <numFmt numFmtId="165" formatCode="&quot;£&quot;#,##0.000"/>
    <numFmt numFmtId="166" formatCode="0.0000"/>
    <numFmt numFmtId="167" formatCode="0.00000"/>
    <numFmt numFmtId="168" formatCode="0.0000000"/>
  </numFmts>
  <fonts count="7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10" fontId="0" fillId="0" borderId="0" xfId="0" applyNumberForma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1" fontId="2" fillId="0" borderId="0" xfId="0" applyNumberFormat="1" applyFont="1" applyAlignment="1">
      <alignment vertical="center"/>
    </xf>
    <xf numFmtId="10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14" fontId="0" fillId="0" borderId="0" xfId="0" applyNumberFormat="1" applyAlignment="1">
      <alignment vertical="center" wrapText="1"/>
    </xf>
    <xf numFmtId="10" fontId="2" fillId="0" borderId="0" xfId="0" applyNumberFormat="1" applyFont="1" applyAlignment="1">
      <alignment vertical="center" wrapText="1"/>
    </xf>
    <xf numFmtId="14" fontId="0" fillId="0" borderId="0" xfId="0" applyNumberFormat="1"/>
    <xf numFmtId="1" fontId="2" fillId="0" borderId="0" xfId="0" applyNumberFormat="1" applyFont="1" applyAlignment="1">
      <alignment vertical="center" wrapText="1"/>
    </xf>
    <xf numFmtId="1" fontId="0" fillId="0" borderId="0" xfId="0" applyNumberFormat="1"/>
    <xf numFmtId="0" fontId="4" fillId="2" borderId="0" xfId="0" applyFont="1" applyFill="1"/>
    <xf numFmtId="164" fontId="4" fillId="2" borderId="0" xfId="0" applyNumberFormat="1" applyFont="1" applyFill="1"/>
    <xf numFmtId="14" fontId="4" fillId="2" borderId="0" xfId="0" applyNumberFormat="1" applyFont="1" applyFill="1"/>
    <xf numFmtId="168" fontId="4" fillId="2" borderId="0" xfId="0" applyNumberFormat="1" applyFont="1" applyFill="1"/>
    <xf numFmtId="164" fontId="4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/>
    </xf>
    <xf numFmtId="14" fontId="4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right"/>
      <protection locked="0"/>
    </xf>
    <xf numFmtId="164" fontId="4" fillId="0" borderId="0" xfId="0" applyNumberFormat="1" applyFont="1" applyAlignment="1" applyProtection="1">
      <alignment horizontal="right"/>
      <protection locked="0"/>
    </xf>
    <xf numFmtId="10" fontId="4" fillId="0" borderId="0" xfId="0" applyNumberFormat="1" applyFont="1"/>
    <xf numFmtId="10" fontId="4" fillId="2" borderId="0" xfId="0" applyNumberFormat="1" applyFont="1" applyFill="1"/>
    <xf numFmtId="165" fontId="4" fillId="0" borderId="0" xfId="0" applyNumberFormat="1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/>
    <xf numFmtId="0" fontId="4" fillId="2" borderId="0" xfId="0" applyFont="1" applyFill="1" applyAlignment="1">
      <alignment horizontal="left"/>
    </xf>
    <xf numFmtId="0" fontId="4" fillId="0" borderId="0" xfId="0" applyFont="1" applyAlignment="1">
      <alignment horizontal="left" wrapText="1"/>
    </xf>
    <xf numFmtId="2" fontId="4" fillId="0" borderId="0" xfId="0" applyNumberFormat="1" applyFont="1"/>
    <xf numFmtId="164" fontId="4" fillId="0" borderId="2" xfId="0" applyNumberFormat="1" applyFont="1" applyBorder="1"/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right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right" wrapText="1"/>
    </xf>
    <xf numFmtId="166" fontId="2" fillId="0" borderId="0" xfId="0" applyNumberFormat="1" applyFont="1" applyAlignment="1">
      <alignment horizontal="right" wrapText="1"/>
    </xf>
    <xf numFmtId="167" fontId="3" fillId="0" borderId="0" xfId="0" applyNumberFormat="1" applyFont="1"/>
    <xf numFmtId="166" fontId="2" fillId="0" borderId="0" xfId="0" applyNumberFormat="1" applyFont="1" applyAlignment="1">
      <alignment vertical="center" wrapText="1"/>
    </xf>
    <xf numFmtId="166" fontId="0" fillId="0" borderId="0" xfId="0" applyNumberFormat="1" applyAlignment="1">
      <alignment vertical="center" wrapText="1"/>
    </xf>
    <xf numFmtId="1" fontId="0" fillId="0" borderId="0" xfId="0" applyNumberFormat="1" applyAlignment="1">
      <alignment vertical="center"/>
    </xf>
    <xf numFmtId="167" fontId="0" fillId="0" borderId="0" xfId="0" applyNumberFormat="1"/>
    <xf numFmtId="0" fontId="5" fillId="0" borderId="1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50</xdr:row>
          <xdr:rowOff>180975</xdr:rowOff>
        </xdr:from>
        <xdr:to>
          <xdr:col>2</xdr:col>
          <xdr:colOff>1266825</xdr:colOff>
          <xdr:row>53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Clear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55472-82CA-47D5-AE86-DED69EFA8C87}">
  <sheetPr codeName="Sheet1">
    <pageSetUpPr fitToPage="1"/>
  </sheetPr>
  <dimension ref="A1:I50"/>
  <sheetViews>
    <sheetView tabSelected="1" zoomScaleNormal="100" workbookViewId="0">
      <selection activeCell="B7" sqref="B7"/>
    </sheetView>
  </sheetViews>
  <sheetFormatPr defaultColWidth="8.7109375" defaultRowHeight="15" x14ac:dyDescent="0.2"/>
  <cols>
    <col min="1" max="1" width="44.85546875" style="18" customWidth="1"/>
    <col min="2" max="2" width="14.42578125" style="18" customWidth="1"/>
    <col min="3" max="3" width="18.140625" style="18" customWidth="1"/>
    <col min="4" max="4" width="16.28515625" style="18" customWidth="1"/>
    <col min="5" max="5" width="18" style="18" customWidth="1"/>
    <col min="6" max="6" width="14.85546875" style="18" customWidth="1"/>
    <col min="7" max="7" width="17.42578125" style="18" customWidth="1"/>
    <col min="8" max="8" width="17.5703125" style="18" customWidth="1"/>
    <col min="9" max="9" width="35.140625" style="18" customWidth="1"/>
    <col min="10" max="16384" width="8.7109375" style="18"/>
  </cols>
  <sheetData>
    <row r="1" spans="1:9" ht="15.75" x14ac:dyDescent="0.25">
      <c r="A1" s="28" t="s">
        <v>0</v>
      </c>
    </row>
    <row r="2" spans="1:9" ht="15.75" x14ac:dyDescent="0.25">
      <c r="B2" s="51" t="s">
        <v>1</v>
      </c>
      <c r="C2" s="51"/>
      <c r="D2" s="51"/>
      <c r="E2" s="51"/>
      <c r="F2" s="51"/>
      <c r="G2" s="51"/>
      <c r="H2" s="51"/>
    </row>
    <row r="3" spans="1:9" ht="15.75" x14ac:dyDescent="0.25"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19"/>
    </row>
    <row r="4" spans="1:9" ht="14.45" customHeight="1" x14ac:dyDescent="0.2">
      <c r="A4" s="35" t="s">
        <v>9</v>
      </c>
      <c r="B4" s="20">
        <v>42095</v>
      </c>
      <c r="C4" s="20">
        <v>42461</v>
      </c>
      <c r="D4" s="20">
        <v>42826</v>
      </c>
      <c r="E4" s="20">
        <v>43191</v>
      </c>
      <c r="F4" s="20">
        <v>43556</v>
      </c>
      <c r="G4" s="20">
        <v>43922</v>
      </c>
      <c r="H4" s="20">
        <v>44287</v>
      </c>
    </row>
    <row r="5" spans="1:9" x14ac:dyDescent="0.2">
      <c r="A5" s="36" t="s">
        <v>10</v>
      </c>
      <c r="B5" s="20">
        <v>42460</v>
      </c>
      <c r="C5" s="20">
        <v>42825</v>
      </c>
      <c r="D5" s="20">
        <v>43190</v>
      </c>
      <c r="E5" s="20">
        <v>43555</v>
      </c>
      <c r="F5" s="20">
        <v>43921</v>
      </c>
      <c r="G5" s="20">
        <v>44286</v>
      </c>
      <c r="H5" s="20">
        <v>44651</v>
      </c>
    </row>
    <row r="6" spans="1:9" x14ac:dyDescent="0.2">
      <c r="A6" s="37" t="s">
        <v>11</v>
      </c>
      <c r="B6" s="21">
        <v>0</v>
      </c>
      <c r="C6" s="21">
        <v>0</v>
      </c>
      <c r="D6" s="21">
        <v>0</v>
      </c>
      <c r="E6" s="21">
        <v>0</v>
      </c>
      <c r="F6" s="21">
        <v>0</v>
      </c>
      <c r="G6" s="21">
        <v>0</v>
      </c>
      <c r="H6" s="21">
        <v>0</v>
      </c>
    </row>
    <row r="7" spans="1:9" x14ac:dyDescent="0.2">
      <c r="A7" s="37" t="s">
        <v>12</v>
      </c>
      <c r="B7" s="22">
        <v>0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</row>
    <row r="8" spans="1:9" x14ac:dyDescent="0.2">
      <c r="A8" s="37" t="s">
        <v>13</v>
      </c>
      <c r="B8" s="22" t="s">
        <v>14</v>
      </c>
      <c r="C8" s="22" t="s">
        <v>14</v>
      </c>
      <c r="D8" s="22" t="s">
        <v>14</v>
      </c>
      <c r="E8" s="22" t="s">
        <v>14</v>
      </c>
      <c r="F8" s="22" t="s">
        <v>14</v>
      </c>
      <c r="G8" s="22" t="s">
        <v>14</v>
      </c>
      <c r="H8" s="22" t="s">
        <v>14</v>
      </c>
    </row>
    <row r="9" spans="1:9" x14ac:dyDescent="0.2">
      <c r="A9" s="37"/>
    </row>
    <row r="10" spans="1:9" x14ac:dyDescent="0.2">
      <c r="A10" s="18" t="s">
        <v>15</v>
      </c>
      <c r="B10" s="23">
        <f>IF(B8="No",IF(B7&lt;=Sheet2!$K$2,Sheet2!$K$1,IF(B7&lt;=Sheet2!$L$2,Sheet2!$L$1,IF(B7&lt;=Sheet2!$M$2,Sheet2!$M$1,Sheet2!$N$1))),0)</f>
        <v>0</v>
      </c>
      <c r="C10" s="23">
        <f>IF(C8="No",IF(C7&lt;=Sheet2!$K$3,Sheet2!$K$1,IF(C7&lt;=Sheet2!$L$3,Sheet2!$L$1,IF(C7&lt;=Sheet2!$M$3,Sheet2!$M$1,Sheet2!$N$1))),0)</f>
        <v>0</v>
      </c>
      <c r="D10" s="23">
        <f>IF(D8="No",IF(D7&lt;=Sheet2!$K$4,Sheet2!$K$1,IF(D7&lt;=Sheet2!$L$4,Sheet2!$L$1,IF(D7&lt;=Sheet2!$M$4,Sheet2!$M$1,Sheet2!$N$1))),0)</f>
        <v>0</v>
      </c>
      <c r="E10" s="23">
        <f>IF(E8="No",IF(E7&lt;=Sheet2!$K$5,Sheet2!$K$1,IF(E7&lt;=Sheet2!$L$5,Sheet2!$L$1,IF(E7&lt;=Sheet2!$M$5,Sheet2!$M$1,Sheet2!$N$1))),0)</f>
        <v>0</v>
      </c>
      <c r="F10" s="23">
        <f>IF(F8="No",IF(F7&lt;=Sheet2!$K$6,Sheet2!$K$1,IF(F7&lt;=Sheet2!$L$6,Sheet2!$L$1,IF(F7&lt;=Sheet2!$M$6,Sheet2!$M$1,Sheet2!$N$1))),0)</f>
        <v>0</v>
      </c>
      <c r="G10" s="23">
        <f>IF(G8="No",IF(G7&lt;=Sheet2!$K$7,Sheet2!$K$1,IF(G7&lt;=Sheet2!$L$7,Sheet2!$L$1,IF(G7&lt;=Sheet2!$M$7,Sheet2!$M$1,Sheet2!$N$1))),0)</f>
        <v>0</v>
      </c>
      <c r="H10" s="23">
        <f>IF(H8="No",IF(H7&lt;=Sheet2!$K$8,Sheet2!$K$1,IF(H7&lt;=Sheet2!$L$8,Sheet2!$L$1,IF(H7&lt;=Sheet2!$M$8,Sheet2!$M$1,Sheet2!$N$1))),0)</f>
        <v>0</v>
      </c>
    </row>
    <row r="11" spans="1:9" hidden="1" x14ac:dyDescent="0.2">
      <c r="A11" s="13" t="s">
        <v>16</v>
      </c>
      <c r="B11" s="13">
        <f>IF(B4&lt;=B5,B5-B4,"Error")</f>
        <v>365</v>
      </c>
      <c r="C11" s="13">
        <f t="shared" ref="C11:H11" si="0">IF(C4&lt;=C5,(C5-C4)+1,"Error")</f>
        <v>365</v>
      </c>
      <c r="D11" s="13">
        <f t="shared" si="0"/>
        <v>365</v>
      </c>
      <c r="E11" s="13">
        <f t="shared" si="0"/>
        <v>365</v>
      </c>
      <c r="F11" s="13">
        <f t="shared" si="0"/>
        <v>366</v>
      </c>
      <c r="G11" s="13">
        <f t="shared" si="0"/>
        <v>365</v>
      </c>
      <c r="H11" s="13">
        <f t="shared" si="0"/>
        <v>365</v>
      </c>
    </row>
    <row r="12" spans="1:9" hidden="1" x14ac:dyDescent="0.2">
      <c r="A12" s="13" t="s">
        <v>17</v>
      </c>
      <c r="B12" s="14">
        <f t="shared" ref="B12:H12" si="1">B7*(365/B11)/12</f>
        <v>0</v>
      </c>
      <c r="C12" s="14">
        <f t="shared" si="1"/>
        <v>0</v>
      </c>
      <c r="D12" s="14">
        <f t="shared" si="1"/>
        <v>0</v>
      </c>
      <c r="E12" s="14">
        <f t="shared" si="1"/>
        <v>0</v>
      </c>
      <c r="F12" s="14">
        <f t="shared" si="1"/>
        <v>0</v>
      </c>
      <c r="G12" s="14">
        <f t="shared" si="1"/>
        <v>0</v>
      </c>
      <c r="H12" s="14">
        <f t="shared" si="1"/>
        <v>0</v>
      </c>
    </row>
    <row r="13" spans="1:9" hidden="1" x14ac:dyDescent="0.2">
      <c r="A13" s="13" t="s">
        <v>18</v>
      </c>
      <c r="B13" s="24">
        <f>IF(B7&lt;Sheet2!$E$3,Sheet2!$G$2,IF(B7&lt;Sheet2!$E$4,Sheet2!$G$3,IF(B7&lt;Sheet2!$E$5,Sheet2!$G$4,IF(B7&lt;Sheet2!$E$6,Sheet2!$G$5,IF(B7&lt;Sheet2!$E$7,Sheet2!$G$6,IF(B7&lt;Sheet2!$E$8,Sheet2!$G$7,Sheet2!$G$8))))))</f>
        <v>0.05</v>
      </c>
      <c r="C13" s="24">
        <f>IF(C7&lt;Sheet2!$E$3,Sheet2!$G$2,IF(C7&lt;Sheet2!$E$4,Sheet2!$G$3,IF(C7&lt;Sheet2!$E$5,Sheet2!$G$4,IF(C7&lt;Sheet2!$E$6,Sheet2!$G$5,IF(C7&lt;Sheet2!$E$7,Sheet2!$G$6,IF(C7&lt;Sheet2!$E$8,Sheet2!$G$7,Sheet2!$G$8))))))</f>
        <v>0.05</v>
      </c>
      <c r="D13" s="24">
        <f>IF(D7&lt;Sheet2!$E$3,Sheet2!$G$2,IF(D7&lt;Sheet2!$E$4,Sheet2!$G$3,IF(D7&lt;Sheet2!$E$5,Sheet2!$G$4,IF(D7&lt;Sheet2!$E$6,Sheet2!$G$5,IF(D7&lt;Sheet2!$E$7,Sheet2!$G$6,IF(D7&lt;Sheet2!$E$8,Sheet2!$G$7,Sheet2!$G$8))))))</f>
        <v>0.05</v>
      </c>
      <c r="E13" s="24">
        <f>IF(E7&lt;Sheet2!$E$3,Sheet2!$G$2,IF(E7&lt;Sheet2!$E$4,Sheet2!$G$3,IF(E7&lt;Sheet2!$E$5,Sheet2!$G$4,IF(E7&lt;Sheet2!$E$6,Sheet2!$G$5,IF(E7&lt;Sheet2!$E$7,Sheet2!$G$6,IF(E7&lt;Sheet2!$E$8,Sheet2!$G$7,Sheet2!$G$8))))))</f>
        <v>0.05</v>
      </c>
      <c r="F13" s="24">
        <f>IF(F7&lt;Sheet2!$E$3,Sheet2!$G$2,IF(F7&lt;Sheet2!$E$4,Sheet2!$G$3,IF(F7&lt;Sheet2!$E$5,Sheet2!$G$4,IF(F7&lt;Sheet2!$E$6,Sheet2!$G$5,IF(F7&lt;Sheet2!$E$7,Sheet2!$G$6,IF(F7&lt;Sheet2!$E$8,Sheet2!$G$7,Sheet2!$G$8))))))</f>
        <v>0.05</v>
      </c>
      <c r="G13" s="24">
        <f>IF(G7&lt;Sheet2!$E$3,Sheet2!$G$2,IF(G7&lt;Sheet2!$E$4,Sheet2!$G$3,IF(G7&lt;Sheet2!$E$5,Sheet2!$G$4,IF(G7&lt;Sheet2!$E$6,Sheet2!$G$5,IF(G7&lt;Sheet2!$E$7,Sheet2!$G$6,IF(G7&lt;Sheet2!$E$8,Sheet2!$G$7,Sheet2!$G$8))))))</f>
        <v>0.05</v>
      </c>
      <c r="H13" s="24">
        <f>IF(H7&lt;Sheet2!$E$3,Sheet2!$G$2,IF(H7&lt;Sheet2!$E$4,Sheet2!$G$3,IF(H7&lt;Sheet2!$E$5,Sheet2!$G$4,IF(H7&lt;Sheet2!$E$6,Sheet2!$G$5,IF(H7&lt;Sheet2!$E$7,Sheet2!$G$6,IF(H7&lt;Sheet2!$E$8,Sheet2!$G$7,Sheet2!$G$8))))))</f>
        <v>0.05</v>
      </c>
    </row>
    <row r="14" spans="1:9" hidden="1" x14ac:dyDescent="0.2">
      <c r="A14" s="13" t="s">
        <v>19</v>
      </c>
      <c r="B14" s="24" t="str">
        <f>IF(B6*30&gt;B11,"Error","")</f>
        <v/>
      </c>
      <c r="C14" s="24" t="str">
        <f t="shared" ref="C14:H14" si="2">IF(C6*30&gt;C11,"Error","")</f>
        <v/>
      </c>
      <c r="D14" s="24" t="str">
        <f t="shared" si="2"/>
        <v/>
      </c>
      <c r="E14" s="24" t="str">
        <f t="shared" si="2"/>
        <v/>
      </c>
      <c r="F14" s="24" t="str">
        <f t="shared" si="2"/>
        <v/>
      </c>
      <c r="G14" s="24" t="str">
        <f t="shared" si="2"/>
        <v/>
      </c>
      <c r="H14" s="24" t="str">
        <f t="shared" si="2"/>
        <v/>
      </c>
    </row>
    <row r="15" spans="1:9" hidden="1" x14ac:dyDescent="0.2">
      <c r="A15" s="29"/>
      <c r="B15" s="15">
        <f>EDATE(B4,B6)-1</f>
        <v>42094</v>
      </c>
      <c r="C15" s="15">
        <f t="shared" ref="C15:H15" si="3">EDATE(C4,C6)-1</f>
        <v>42460</v>
      </c>
      <c r="D15" s="15">
        <f t="shared" si="3"/>
        <v>42825</v>
      </c>
      <c r="E15" s="15">
        <f t="shared" si="3"/>
        <v>43190</v>
      </c>
      <c r="F15" s="15">
        <f t="shared" si="3"/>
        <v>43555</v>
      </c>
      <c r="G15" s="15">
        <f t="shared" si="3"/>
        <v>43921</v>
      </c>
      <c r="H15" s="15">
        <f t="shared" si="3"/>
        <v>44286</v>
      </c>
    </row>
    <row r="16" spans="1:9" hidden="1" x14ac:dyDescent="0.2">
      <c r="A16" s="29" t="s">
        <v>20</v>
      </c>
      <c r="B16" s="15">
        <f>IF(B6&lt;12,(B15-B4)/2+B4,(B5-B4)/2+B4)</f>
        <v>42094.5</v>
      </c>
      <c r="C16" s="15">
        <f t="shared" ref="C16:H16" si="4">IF(C6&lt;12,(C15-C4)/2+C4,(C5-C4)/2+C4)</f>
        <v>42460.5</v>
      </c>
      <c r="D16" s="15">
        <f t="shared" si="4"/>
        <v>42825.5</v>
      </c>
      <c r="E16" s="15">
        <f t="shared" si="4"/>
        <v>43190.5</v>
      </c>
      <c r="F16" s="15">
        <f t="shared" si="4"/>
        <v>43555.5</v>
      </c>
      <c r="G16" s="15">
        <f t="shared" si="4"/>
        <v>43921.5</v>
      </c>
      <c r="H16" s="15">
        <f t="shared" si="4"/>
        <v>44286.5</v>
      </c>
    </row>
    <row r="17" spans="1:8" hidden="1" x14ac:dyDescent="0.2">
      <c r="A17" s="29" t="s">
        <v>21</v>
      </c>
      <c r="B17" s="16">
        <f ca="1">Sheet1!D21</f>
        <v>1.1905990583047539</v>
      </c>
      <c r="C17" s="16">
        <f ca="1">Sheet1!F21</f>
        <v>1.1776361455540756</v>
      </c>
      <c r="D17" s="16">
        <f ca="1">Sheet1!H21</f>
        <v>1.1676642495350322</v>
      </c>
      <c r="E17" s="16">
        <f ca="1">Sheet1!J21</f>
        <v>1.1585087691220839</v>
      </c>
      <c r="F17" s="16">
        <f ca="1">Sheet1!L21</f>
        <v>1.1473315861509017</v>
      </c>
      <c r="G17" s="16">
        <f ca="1">Sheet1!N21</f>
        <v>1.1359486576600248</v>
      </c>
      <c r="H17" s="16">
        <f ca="1">Sheet1!P21</f>
        <v>1.1280323177305505</v>
      </c>
    </row>
    <row r="18" spans="1:8" hidden="1" x14ac:dyDescent="0.2">
      <c r="A18" s="29" t="s">
        <v>22</v>
      </c>
      <c r="B18" s="13">
        <f ca="1">_xlfn.DAYS(Sheet2!$X$1,B16)</f>
        <v>4021</v>
      </c>
      <c r="C18" s="13">
        <f ca="1">_xlfn.DAYS(Sheet2!$X$1,C16)</f>
        <v>3655</v>
      </c>
      <c r="D18" s="13">
        <f ca="1">_xlfn.DAYS(Sheet2!$X$1,D16)</f>
        <v>3290</v>
      </c>
      <c r="E18" s="13">
        <f ca="1">_xlfn.DAYS(Sheet2!$X$1,E16)</f>
        <v>2925</v>
      </c>
      <c r="F18" s="13">
        <f ca="1">_xlfn.DAYS(Sheet2!$X$1,F16)</f>
        <v>2560</v>
      </c>
      <c r="G18" s="13">
        <f ca="1">_xlfn.DAYS(Sheet2!$X$1,G16)</f>
        <v>2194</v>
      </c>
      <c r="H18" s="13">
        <f ca="1">_xlfn.DAYS(Sheet2!$X$1,H16)</f>
        <v>1829</v>
      </c>
    </row>
    <row r="19" spans="1:8" hidden="1" x14ac:dyDescent="0.2">
      <c r="A19" s="13"/>
      <c r="B19" s="13"/>
      <c r="C19" s="13"/>
      <c r="D19" s="13"/>
      <c r="E19" s="13"/>
      <c r="F19" s="13"/>
      <c r="G19" s="13"/>
      <c r="H19" s="13"/>
    </row>
    <row r="20" spans="1:8" hidden="1" x14ac:dyDescent="0.2">
      <c r="A20" s="29" t="s">
        <v>23</v>
      </c>
      <c r="B20" s="14">
        <f t="shared" ref="B20:H20" si="5">B12*B6*B13</f>
        <v>0</v>
      </c>
      <c r="C20" s="14">
        <f t="shared" si="5"/>
        <v>0</v>
      </c>
      <c r="D20" s="14">
        <f t="shared" si="5"/>
        <v>0</v>
      </c>
      <c r="E20" s="14">
        <f t="shared" si="5"/>
        <v>0</v>
      </c>
      <c r="F20" s="14">
        <f t="shared" si="5"/>
        <v>0</v>
      </c>
      <c r="G20" s="14">
        <f t="shared" si="5"/>
        <v>0</v>
      </c>
      <c r="H20" s="14">
        <f t="shared" si="5"/>
        <v>0</v>
      </c>
    </row>
    <row r="21" spans="1:8" hidden="1" x14ac:dyDescent="0.2">
      <c r="A21" s="29"/>
      <c r="B21" s="14"/>
      <c r="C21" s="14"/>
      <c r="D21" s="14"/>
      <c r="E21" s="14"/>
      <c r="F21" s="14"/>
      <c r="G21" s="14"/>
      <c r="H21" s="14"/>
    </row>
    <row r="22" spans="1:8" hidden="1" x14ac:dyDescent="0.2">
      <c r="A22" s="29" t="s">
        <v>24</v>
      </c>
      <c r="B22" s="14">
        <f t="shared" ref="B22:H22" si="6">B7-B20</f>
        <v>0</v>
      </c>
      <c r="C22" s="14">
        <f t="shared" si="6"/>
        <v>0</v>
      </c>
      <c r="D22" s="14">
        <f t="shared" si="6"/>
        <v>0</v>
      </c>
      <c r="E22" s="14">
        <f t="shared" si="6"/>
        <v>0</v>
      </c>
      <c r="F22" s="14">
        <f t="shared" si="6"/>
        <v>0</v>
      </c>
      <c r="G22" s="14">
        <f t="shared" si="6"/>
        <v>0</v>
      </c>
      <c r="H22" s="14">
        <f t="shared" si="6"/>
        <v>0</v>
      </c>
    </row>
    <row r="23" spans="1:8" hidden="1" x14ac:dyDescent="0.2">
      <c r="A23" s="29" t="s">
        <v>25</v>
      </c>
      <c r="B23" s="24">
        <f>IF(B22&lt;=Sheet2!$K$2,Sheet2!$K$1,IF(B22&lt;=Sheet2!$L$2,Sheet2!$L$1,IF(B22&lt;=Sheet2!$M$2,Sheet2!$M$1,Sheet2!$N$1)))</f>
        <v>0</v>
      </c>
      <c r="C23" s="24">
        <f>IF(C22&lt;=Sheet2!$K$3,Sheet2!$K$1,IF(C22&lt;=Sheet2!$L$3,Sheet2!$L$1,IF(C22&lt;=Sheet2!$M$3,Sheet2!$M$1,Sheet2!$N$1)))</f>
        <v>0</v>
      </c>
      <c r="D23" s="24">
        <f>IF(D22&lt;=Sheet2!$K$4,Sheet2!$K$1,IF(D22&lt;=Sheet2!$L$4,Sheet2!$L$1,IF(D22&lt;=Sheet2!$M$4,Sheet2!$M$1,Sheet2!$N$1)))</f>
        <v>0</v>
      </c>
      <c r="E23" s="24">
        <f>IF(E22&lt;=Sheet2!$K$5,Sheet2!$K$1,IF(E22&lt;=Sheet2!$L$5,Sheet2!$L$1,IF(E22&lt;=Sheet2!$M$5,Sheet2!$M$1,Sheet2!$N$1)))</f>
        <v>0</v>
      </c>
      <c r="F23" s="24">
        <f>IF(F22&lt;=Sheet2!$K$6,Sheet2!$K$1,IF(F22&lt;=Sheet2!$L$6,Sheet2!$L$1,IF(F22&lt;=Sheet2!$M$6,Sheet2!$M$1,Sheet2!$N$1)))</f>
        <v>0</v>
      </c>
      <c r="G23" s="24">
        <f>IF(G22&lt;=Sheet2!$K$7,Sheet2!$K$1,IF(G22&lt;=Sheet2!$L$7,Sheet2!$L$1,IF(G22&lt;=Sheet2!$M$7,Sheet2!$M$1,Sheet2!$N$1)))</f>
        <v>0</v>
      </c>
      <c r="H23" s="24">
        <f>IF(H22&lt;=Sheet2!$K$8,Sheet2!$K$1,IF(H22&lt;=Sheet2!$L$8,Sheet2!$L$1,IF(H22&lt;=Sheet2!$M$8,Sheet2!$M$1,Sheet2!$N$1)))</f>
        <v>0</v>
      </c>
    </row>
    <row r="24" spans="1:8" hidden="1" x14ac:dyDescent="0.2">
      <c r="A24" s="29" t="s">
        <v>26</v>
      </c>
      <c r="B24" s="14">
        <f>IF(B10=B23,B20,IF(B7&lt;=Sheet2!$K$2,B20,IF(B7&lt;=Sheet2!$L$2,B7-Sheet2!$K$2,IF(B7&lt;=Sheet2!$M$2,B7-Sheet2!$L$2,B7-Sheet2!$M$2))))</f>
        <v>0</v>
      </c>
      <c r="C24" s="14">
        <f>IF(C10=C23,C20,IF(C7&lt;=Sheet2!$K$3,C20,IF(C7&lt;=Sheet2!$L$3,C7-Sheet2!$K$3,IF(C7&lt;=Sheet2!$M$3,C7-Sheet2!$L$3,C7-Sheet2!$M$3))))</f>
        <v>0</v>
      </c>
      <c r="D24" s="14">
        <f>IF(D10=D23,D20,IF(D7&lt;=Sheet2!$K$4,D20,IF(D7&lt;=Sheet2!$L$4,D7-Sheet2!$K$4,IF(D7&lt;=Sheet2!$M$4,D7-Sheet2!$L$4,D7-Sheet2!$M$4))))</f>
        <v>0</v>
      </c>
      <c r="E24" s="14">
        <f>IF(E10=E23,E20,IF(E7&lt;=Sheet2!$K$5,E20,IF(E7&lt;=Sheet2!$L$5,E7-Sheet2!$K$5,IF(E7&lt;=Sheet2!$M$5,E7-Sheet2!$L$5,E7-Sheet2!$M$5))))</f>
        <v>0</v>
      </c>
      <c r="F24" s="14">
        <f>IF(F10=F23,F20,IF(F7&lt;=Sheet2!$K$6,F20,IF(F7&lt;=Sheet2!$L$6,F7-Sheet2!$K$6,IF(F7&lt;=Sheet2!$M$6,F7-Sheet2!$L$6,F7-Sheet2!$M$6))))</f>
        <v>0</v>
      </c>
      <c r="G24" s="14">
        <f>IF(G10=G23,G20,IF(G7&lt;=Sheet2!$K$7,G20,IF(G7&lt;=Sheet2!$L$7,G7-Sheet2!$K$7,IF(G7&lt;=Sheet2!$M$7,G7-Sheet2!$L$7,G7-Sheet2!$M$7))))</f>
        <v>0</v>
      </c>
      <c r="H24" s="14">
        <f>IF(H10=H23,H20,IF(H7&lt;=Sheet2!$K$8,H20,IF(H7&lt;=Sheet2!$L$8,H7-Sheet2!$K$8,IF(H7&lt;=Sheet2!$M$8,H7-Sheet2!$L$8,H7-Sheet2!$M$8))))</f>
        <v>0</v>
      </c>
    </row>
    <row r="25" spans="1:8" hidden="1" x14ac:dyDescent="0.2">
      <c r="A25" s="29" t="s">
        <v>27</v>
      </c>
      <c r="B25" s="14">
        <f t="shared" ref="B25:H25" si="7">B20-B24</f>
        <v>0</v>
      </c>
      <c r="C25" s="14">
        <f t="shared" si="7"/>
        <v>0</v>
      </c>
      <c r="D25" s="14">
        <f t="shared" si="7"/>
        <v>0</v>
      </c>
      <c r="E25" s="14">
        <f t="shared" si="7"/>
        <v>0</v>
      </c>
      <c r="F25" s="14">
        <f t="shared" si="7"/>
        <v>0</v>
      </c>
      <c r="G25" s="14">
        <f t="shared" si="7"/>
        <v>0</v>
      </c>
      <c r="H25" s="14">
        <f t="shared" si="7"/>
        <v>0</v>
      </c>
    </row>
    <row r="26" spans="1:8" hidden="1" x14ac:dyDescent="0.2">
      <c r="A26" s="29" t="s">
        <v>28</v>
      </c>
      <c r="B26" s="14">
        <f>IF(B8="No",(B24*B10)+(B25*B23),0)</f>
        <v>0</v>
      </c>
      <c r="C26" s="14">
        <f t="shared" ref="C26:H26" si="8">IF(C8="No",(C24*C10)+(C25*C23),0)</f>
        <v>0</v>
      </c>
      <c r="D26" s="14">
        <f t="shared" si="8"/>
        <v>0</v>
      </c>
      <c r="E26" s="14">
        <f t="shared" si="8"/>
        <v>0</v>
      </c>
      <c r="F26" s="14">
        <f t="shared" si="8"/>
        <v>0</v>
      </c>
      <c r="G26" s="14">
        <f t="shared" si="8"/>
        <v>0</v>
      </c>
      <c r="H26" s="14">
        <f t="shared" si="8"/>
        <v>0</v>
      </c>
    </row>
    <row r="27" spans="1:8" x14ac:dyDescent="0.2">
      <c r="A27" s="37" t="s">
        <v>29</v>
      </c>
      <c r="B27" s="17">
        <f t="shared" ref="B27:H27" si="9">B20-B26</f>
        <v>0</v>
      </c>
      <c r="C27" s="17">
        <f t="shared" si="9"/>
        <v>0</v>
      </c>
      <c r="D27" s="17">
        <f t="shared" si="9"/>
        <v>0</v>
      </c>
      <c r="E27" s="17">
        <f t="shared" si="9"/>
        <v>0</v>
      </c>
      <c r="F27" s="17">
        <f t="shared" si="9"/>
        <v>0</v>
      </c>
      <c r="G27" s="17">
        <f t="shared" si="9"/>
        <v>0</v>
      </c>
      <c r="H27" s="17">
        <f t="shared" si="9"/>
        <v>0</v>
      </c>
    </row>
    <row r="28" spans="1:8" x14ac:dyDescent="0.2">
      <c r="A28" s="37" t="s">
        <v>30</v>
      </c>
      <c r="B28" s="17">
        <f ca="1">B27*(B17-1)</f>
        <v>0</v>
      </c>
      <c r="C28" s="17">
        <f t="shared" ref="C28:H28" ca="1" si="10">C27*(C17-1)</f>
        <v>0</v>
      </c>
      <c r="D28" s="17">
        <f t="shared" ca="1" si="10"/>
        <v>0</v>
      </c>
      <c r="E28" s="17">
        <f t="shared" ca="1" si="10"/>
        <v>0</v>
      </c>
      <c r="F28" s="17">
        <f t="shared" ca="1" si="10"/>
        <v>0</v>
      </c>
      <c r="G28" s="17">
        <f t="shared" ca="1" si="10"/>
        <v>0</v>
      </c>
      <c r="H28" s="17">
        <f t="shared" ca="1" si="10"/>
        <v>0</v>
      </c>
    </row>
    <row r="29" spans="1:8" hidden="1" x14ac:dyDescent="0.2">
      <c r="A29" s="29" t="s">
        <v>31</v>
      </c>
      <c r="B29" s="14">
        <f>B12*B6*Sheet2!$P$2</f>
        <v>0</v>
      </c>
      <c r="C29" s="14">
        <f>C12*C6*Sheet2!$P$2</f>
        <v>0</v>
      </c>
      <c r="D29" s="14">
        <f>D12*D6*Sheet2!$P$2</f>
        <v>0</v>
      </c>
      <c r="E29" s="14">
        <f>E12*E6*Sheet2!$P$2</f>
        <v>0</v>
      </c>
      <c r="F29" s="14">
        <f>F12*F6*Sheet2!$P$2</f>
        <v>0</v>
      </c>
      <c r="G29" s="14">
        <f>G12*G6*Sheet2!$P$2</f>
        <v>0</v>
      </c>
      <c r="H29" s="14">
        <f>H12*H6*Sheet2!$P$2</f>
        <v>0</v>
      </c>
    </row>
    <row r="31" spans="1:8" x14ac:dyDescent="0.2">
      <c r="A31" s="33"/>
      <c r="B31" s="26" t="s">
        <v>32</v>
      </c>
      <c r="C31" s="17">
        <f>SUM(B27:H27)</f>
        <v>0</v>
      </c>
      <c r="E31" s="17"/>
    </row>
    <row r="32" spans="1:8" ht="15.75" thickBot="1" x14ac:dyDescent="0.25">
      <c r="B32" s="26" t="s">
        <v>30</v>
      </c>
      <c r="C32" s="17">
        <f ca="1">SUM(B28:H28)</f>
        <v>0</v>
      </c>
      <c r="D32" s="25"/>
    </row>
    <row r="33" spans="1:8" ht="16.5" thickBot="1" x14ac:dyDescent="0.3">
      <c r="B33" s="34" t="s">
        <v>33</v>
      </c>
      <c r="C33" s="32">
        <f ca="1">C31+C32</f>
        <v>0</v>
      </c>
    </row>
    <row r="34" spans="1:8" x14ac:dyDescent="0.2">
      <c r="B34" s="26" t="str">
        <f>IF(OR($B$7&gt;250000,$C$7&gt;250000,$D$7&gt;250000,$E$7&gt;250000,$F$7&gt;250000,$G$7&gt;250000,$H$7&gt;250000,$I$7&gt;250000),"Warning:","")</f>
        <v/>
      </c>
      <c r="C34" s="18" t="str">
        <f>IF(OR($B$7&gt;250000,$C$7&gt;250000,$D$7&gt;250000,$E$7&gt;250000,$F$7&gt;250000,$G$7&gt;250000,$H$7&gt;250000,$I$7&gt;250000),"Total Pensionable Pay exceeds £250,000","")</f>
        <v/>
      </c>
    </row>
    <row r="35" spans="1:8" ht="15.75" x14ac:dyDescent="0.25">
      <c r="B35" s="27" t="str">
        <f>IF(C35="","","Error:")</f>
        <v/>
      </c>
      <c r="C35" s="28" t="str">
        <f>IF(OR(B11="Error",C11="Error",D11="Error",E11="Error",F11="Error",G11="Error",H11="Error"),"Employed from date can not be later than employed to date",IF(OR(B14="Error",C14="Error",D14="Error",E14="Error",F14="Error",G14="Error",H14="Error"),"Cant buy back more service then employed during the year",""))</f>
        <v/>
      </c>
    </row>
    <row r="36" spans="1:8" hidden="1" x14ac:dyDescent="0.2">
      <c r="A36" s="13" t="s">
        <v>34</v>
      </c>
      <c r="B36" s="14">
        <f t="shared" ref="B36:H36" si="11">B7*(365/B11)</f>
        <v>0</v>
      </c>
      <c r="C36" s="14">
        <f t="shared" si="11"/>
        <v>0</v>
      </c>
      <c r="D36" s="14">
        <f t="shared" si="11"/>
        <v>0</v>
      </c>
      <c r="E36" s="14">
        <f t="shared" si="11"/>
        <v>0</v>
      </c>
      <c r="F36" s="14">
        <f t="shared" si="11"/>
        <v>0</v>
      </c>
      <c r="G36" s="14">
        <f t="shared" si="11"/>
        <v>0</v>
      </c>
      <c r="H36" s="14">
        <f t="shared" si="11"/>
        <v>0</v>
      </c>
    </row>
    <row r="37" spans="1:8" hidden="1" x14ac:dyDescent="0.2">
      <c r="A37" s="13" t="s">
        <v>18</v>
      </c>
      <c r="B37" s="24">
        <f>IF(B36&lt;Sheet2!$E$3,Sheet2!$G$2,IF(B36&lt;Sheet2!$E$4,Sheet2!$G$3,IF(B36&lt;Sheet2!$E$5,Sheet2!$G$4,IF(B36&lt;Sheet2!$E$6,Sheet2!$G$5,IF(B36&lt;Sheet2!$E$7,Sheet2!$G$6,IF(B36&lt;Sheet2!$E$8,Sheet2!$G$7,Sheet2!$G$8))))))</f>
        <v>0.05</v>
      </c>
      <c r="C37" s="24">
        <f>IF(C36&lt;Sheet2!$E$3,Sheet2!$G$2,IF(C36&lt;Sheet2!$E$4,Sheet2!$G$3,IF(C36&lt;Sheet2!$E$5,Sheet2!$G$4,IF(C36&lt;Sheet2!$E$6,Sheet2!$G$5,IF(C36&lt;Sheet2!$E$7,Sheet2!$G$6,IF(C36&lt;Sheet2!$E$8,Sheet2!$G$7,Sheet2!$G$8))))))</f>
        <v>0.05</v>
      </c>
      <c r="D37" s="24">
        <f>IF(D36&lt;Sheet2!$E$3,Sheet2!$G$2,IF(D36&lt;Sheet2!$E$4,Sheet2!$G$3,IF(D36&lt;Sheet2!$E$5,Sheet2!$G$4,IF(D36&lt;Sheet2!$E$6,Sheet2!$G$5,IF(D36&lt;Sheet2!$E$7,Sheet2!$G$6,IF(D36&lt;Sheet2!$E$8,Sheet2!$G$7,Sheet2!$G$8))))))</f>
        <v>0.05</v>
      </c>
      <c r="E37" s="24">
        <f>IF(E36&lt;Sheet2!$E$3,Sheet2!$G$2,IF(E36&lt;Sheet2!$E$4,Sheet2!$G$3,IF(E36&lt;Sheet2!$E$5,Sheet2!$G$4,IF(E36&lt;Sheet2!$E$6,Sheet2!$G$5,IF(E36&lt;Sheet2!$E$7,Sheet2!$G$6,IF(E36&lt;Sheet2!$E$8,Sheet2!$G$7,Sheet2!$G$8))))))</f>
        <v>0.05</v>
      </c>
      <c r="F37" s="24">
        <f>IF(F36&lt;Sheet2!$E$3,Sheet2!$G$2,IF(F36&lt;Sheet2!$E$4,Sheet2!$G$3,IF(F36&lt;Sheet2!$E$5,Sheet2!$G$4,IF(F36&lt;Sheet2!$E$6,Sheet2!$G$5,IF(F36&lt;Sheet2!$E$7,Sheet2!$G$6,IF(F36&lt;Sheet2!$E$8,Sheet2!$G$7,Sheet2!$G$8))))))</f>
        <v>0.05</v>
      </c>
      <c r="G37" s="24">
        <f>IF(G36&lt;Sheet2!$E$3,Sheet2!$G$2,IF(G36&lt;Sheet2!$E$4,Sheet2!$G$3,IF(G36&lt;Sheet2!$E$5,Sheet2!$G$4,IF(G36&lt;Sheet2!$E$6,Sheet2!$G$5,IF(G36&lt;Sheet2!$E$7,Sheet2!$G$6,IF(G36&lt;Sheet2!$E$8,Sheet2!$G$7,Sheet2!$G$8))))))</f>
        <v>0.05</v>
      </c>
      <c r="H37" s="24">
        <f>IF(H36&lt;Sheet2!$E$3,Sheet2!$G$2,IF(H36&lt;Sheet2!$E$4,Sheet2!$G$3,IF(H36&lt;Sheet2!$E$5,Sheet2!$G$4,IF(H36&lt;Sheet2!$E$6,Sheet2!$G$5,IF(H36&lt;Sheet2!$E$7,Sheet2!$G$6,IF(H36&lt;Sheet2!$E$8,Sheet2!$G$7,Sheet2!$G$8))))))</f>
        <v>0.05</v>
      </c>
    </row>
    <row r="38" spans="1:8" hidden="1" x14ac:dyDescent="0.2"/>
    <row r="39" spans="1:8" hidden="1" x14ac:dyDescent="0.2">
      <c r="A39" s="29" t="s">
        <v>23</v>
      </c>
      <c r="B39" s="14">
        <f>B12*B6*B37</f>
        <v>0</v>
      </c>
      <c r="C39" s="14">
        <f t="shared" ref="C39:H39" si="12">C12*C6*C37</f>
        <v>0</v>
      </c>
      <c r="D39" s="14">
        <f t="shared" si="12"/>
        <v>0</v>
      </c>
      <c r="E39" s="14">
        <f t="shared" si="12"/>
        <v>0</v>
      </c>
      <c r="F39" s="14">
        <f t="shared" si="12"/>
        <v>0</v>
      </c>
      <c r="G39" s="14">
        <f t="shared" si="12"/>
        <v>0</v>
      </c>
      <c r="H39" s="14">
        <f t="shared" si="12"/>
        <v>0</v>
      </c>
    </row>
    <row r="40" spans="1:8" hidden="1" x14ac:dyDescent="0.2"/>
    <row r="41" spans="1:8" hidden="1" x14ac:dyDescent="0.2">
      <c r="A41" s="29" t="s">
        <v>24</v>
      </c>
      <c r="B41" s="14">
        <f>B7-B39</f>
        <v>0</v>
      </c>
      <c r="C41" s="14">
        <f t="shared" ref="C41:H41" si="13">C7-C39</f>
        <v>0</v>
      </c>
      <c r="D41" s="14">
        <f t="shared" si="13"/>
        <v>0</v>
      </c>
      <c r="E41" s="14">
        <f t="shared" si="13"/>
        <v>0</v>
      </c>
      <c r="F41" s="14">
        <f t="shared" si="13"/>
        <v>0</v>
      </c>
      <c r="G41" s="14">
        <f t="shared" si="13"/>
        <v>0</v>
      </c>
      <c r="H41" s="14">
        <f t="shared" si="13"/>
        <v>0</v>
      </c>
    </row>
    <row r="42" spans="1:8" hidden="1" x14ac:dyDescent="0.2">
      <c r="A42" s="29" t="s">
        <v>25</v>
      </c>
      <c r="B42" s="24">
        <f>IF(B41&lt;=Sheet2!$K$2,Sheet2!$K$1,IF(B41&lt;=Sheet2!$L$2,Sheet2!$L$1,IF(B41&lt;=Sheet2!$M$2,Sheet2!$M$1,Sheet2!$N$1)))</f>
        <v>0</v>
      </c>
      <c r="C42" s="24">
        <f>IF(C41&lt;=Sheet2!$K$3,Sheet2!$K$1,IF(C41&lt;=Sheet2!$L$3,Sheet2!$L$1,IF(C41&lt;=Sheet2!$M$3,Sheet2!$M$1,Sheet2!$N$1)))</f>
        <v>0</v>
      </c>
      <c r="D42" s="24">
        <f>IF(D41&lt;=Sheet2!$K$4,Sheet2!$K$1,IF(D41&lt;=Sheet2!$L$4,Sheet2!$L$1,IF(D41&lt;=Sheet2!$M$4,Sheet2!$M$1,Sheet2!$N$1)))</f>
        <v>0</v>
      </c>
      <c r="E42" s="24">
        <f>IF(E41&lt;=Sheet2!$K$5,Sheet2!$K$1,IF(E41&lt;=Sheet2!$L$5,Sheet2!$L$1,IF(E41&lt;=Sheet2!$M$5,Sheet2!$M$1,Sheet2!$N$1)))</f>
        <v>0</v>
      </c>
      <c r="F42" s="24">
        <f>IF(F41&lt;=Sheet2!$K$6,Sheet2!$K$1,IF(F41&lt;=Sheet2!$L$6,Sheet2!$L$1,IF(F41&lt;=Sheet2!$M$6,Sheet2!$M$1,Sheet2!$N$1)))</f>
        <v>0</v>
      </c>
      <c r="G42" s="24">
        <f>IF(G41&lt;=Sheet2!$K$7,Sheet2!$K$1,IF(G41&lt;=Sheet2!$L$7,Sheet2!$L$1,IF(G41&lt;=Sheet2!$M$7,Sheet2!$M$1,Sheet2!$N$1)))</f>
        <v>0</v>
      </c>
      <c r="H42" s="24">
        <f>IF(H41&lt;=Sheet2!$K$8,Sheet2!$K$1,IF(H41&lt;=Sheet2!$L$8,Sheet2!$L$1,IF(H41&lt;=Sheet2!$M$8,Sheet2!$M$1,Sheet2!$N$1)))</f>
        <v>0</v>
      </c>
    </row>
    <row r="43" spans="1:8" hidden="1" x14ac:dyDescent="0.2">
      <c r="A43" s="29" t="s">
        <v>26</v>
      </c>
      <c r="B43" s="14">
        <f>IF(B10=B42,B39,IF(B7&lt;=Sheet2!$K$2,B39,IF(B7&lt;=Sheet2!$L$2,B7-Sheet2!$K$2,IF(B7&lt;=Sheet2!$M$2,B7-Sheet2!$L$2,B7-Sheet2!$M$2))))</f>
        <v>0</v>
      </c>
      <c r="C43" s="14">
        <f>IF(C10=C42,C39,IF(C7&lt;=Sheet2!$K$3,C39,IF(C7&lt;=Sheet2!$L$3,C7-Sheet2!$K$3,IF(C7&lt;=Sheet2!$M$3,C7-Sheet2!$L$3,C7-Sheet2!$M$3))))</f>
        <v>0</v>
      </c>
      <c r="D43" s="14">
        <f>IF(D10=D42,D39,IF(D7&lt;=Sheet2!$K$4,D39,IF(D7&lt;=Sheet2!$L$4,D7-Sheet2!$K$4,IF(D7&lt;=Sheet2!$M$4,D7-Sheet2!$L$4,D7-Sheet2!$M$4))))</f>
        <v>0</v>
      </c>
      <c r="E43" s="14">
        <f>IF(E10=E42,E39,IF(E7&lt;=Sheet2!$K$5,E39,IF(E7&lt;=Sheet2!$L$5,E7-Sheet2!$K$5,IF(E7&lt;=Sheet2!$M$5,E7-Sheet2!$L$5,E7-Sheet2!$M$5))))</f>
        <v>0</v>
      </c>
      <c r="F43" s="14">
        <f>IF(F10=F42,F39,IF(F7&lt;=Sheet2!$K$6,F39,IF(F7&lt;=Sheet2!$L$6,F7-Sheet2!$K$6,IF(F7&lt;=Sheet2!$M$6,F7-Sheet2!$L$6,F7-Sheet2!$M$6))))</f>
        <v>0</v>
      </c>
      <c r="G43" s="14">
        <f>IF(G10=G42,G39,IF(G7&lt;=Sheet2!$K$7,G39,IF(G7&lt;=Sheet2!$L$7,G7-Sheet2!$K$7,IF(G7&lt;=Sheet2!$M$7,G7-Sheet2!$L$7,G7-Sheet2!$M$7))))</f>
        <v>0</v>
      </c>
      <c r="H43" s="14">
        <f>IF(H10=H42,H39,IF(H7&lt;=Sheet2!$K$8,H39,IF(H7&lt;=Sheet2!$L$8,H7-Sheet2!$K$8,IF(H7&lt;=Sheet2!$M$8,H7-Sheet2!$L$8,H7-Sheet2!$M$8))))</f>
        <v>0</v>
      </c>
    </row>
    <row r="44" spans="1:8" hidden="1" x14ac:dyDescent="0.2">
      <c r="A44" s="29" t="s">
        <v>27</v>
      </c>
      <c r="B44" s="14">
        <f t="shared" ref="B44:H44" si="14">B39-B43</f>
        <v>0</v>
      </c>
      <c r="C44" s="14">
        <f t="shared" si="14"/>
        <v>0</v>
      </c>
      <c r="D44" s="14">
        <f t="shared" si="14"/>
        <v>0</v>
      </c>
      <c r="E44" s="14">
        <f t="shared" si="14"/>
        <v>0</v>
      </c>
      <c r="F44" s="14">
        <f t="shared" si="14"/>
        <v>0</v>
      </c>
      <c r="G44" s="14">
        <f t="shared" si="14"/>
        <v>0</v>
      </c>
      <c r="H44" s="14">
        <f t="shared" si="14"/>
        <v>0</v>
      </c>
    </row>
    <row r="45" spans="1:8" hidden="1" x14ac:dyDescent="0.2">
      <c r="A45" s="29" t="s">
        <v>28</v>
      </c>
      <c r="B45" s="14">
        <f>IF(B8="No",(B43*B10)+(B44*B42),0)</f>
        <v>0</v>
      </c>
      <c r="C45" s="14">
        <f>IF(C8="No",(C43*C10)+(C44*C42),0)</f>
        <v>0</v>
      </c>
      <c r="D45" s="14">
        <f t="shared" ref="D45:H45" si="15">IF(D8="No",(D43*D10)+(D44*D42),0)</f>
        <v>0</v>
      </c>
      <c r="E45" s="14">
        <f t="shared" si="15"/>
        <v>0</v>
      </c>
      <c r="F45" s="14">
        <f t="shared" si="15"/>
        <v>0</v>
      </c>
      <c r="G45" s="14">
        <f t="shared" si="15"/>
        <v>0</v>
      </c>
      <c r="H45" s="14">
        <f t="shared" si="15"/>
        <v>0</v>
      </c>
    </row>
    <row r="46" spans="1:8" hidden="1" x14ac:dyDescent="0.2">
      <c r="A46" s="29" t="s">
        <v>29</v>
      </c>
      <c r="B46" s="14">
        <f t="shared" ref="B46:H46" si="16">B39-B45</f>
        <v>0</v>
      </c>
      <c r="C46" s="14">
        <f t="shared" si="16"/>
        <v>0</v>
      </c>
      <c r="D46" s="14">
        <f t="shared" si="16"/>
        <v>0</v>
      </c>
      <c r="E46" s="14">
        <f t="shared" si="16"/>
        <v>0</v>
      </c>
      <c r="F46" s="14">
        <f t="shared" si="16"/>
        <v>0</v>
      </c>
      <c r="G46" s="14">
        <f t="shared" si="16"/>
        <v>0</v>
      </c>
      <c r="H46" s="14">
        <f t="shared" si="16"/>
        <v>0</v>
      </c>
    </row>
    <row r="47" spans="1:8" hidden="1" x14ac:dyDescent="0.2"/>
    <row r="48" spans="1:8" ht="30" x14ac:dyDescent="0.2">
      <c r="A48" s="30" t="s">
        <v>35</v>
      </c>
      <c r="B48" s="31">
        <f>B46-B27</f>
        <v>0</v>
      </c>
      <c r="C48" s="31">
        <f t="shared" ref="C48:H48" si="17">C46-C27</f>
        <v>0</v>
      </c>
      <c r="D48" s="31">
        <f t="shared" si="17"/>
        <v>0</v>
      </c>
      <c r="E48" s="31">
        <f t="shared" si="17"/>
        <v>0</v>
      </c>
      <c r="F48" s="31">
        <f t="shared" si="17"/>
        <v>0</v>
      </c>
      <c r="G48" s="31">
        <f t="shared" si="17"/>
        <v>0</v>
      </c>
      <c r="H48" s="31">
        <f t="shared" si="17"/>
        <v>0</v>
      </c>
    </row>
    <row r="49" spans="1:5" ht="15.75" thickBot="1" x14ac:dyDescent="0.25"/>
    <row r="50" spans="1:5" ht="16.5" thickBot="1" x14ac:dyDescent="0.3">
      <c r="A50" s="48" t="s">
        <v>36</v>
      </c>
      <c r="B50" s="49"/>
      <c r="C50" s="50"/>
      <c r="D50" s="32">
        <f>SUM(B48:H48)</f>
        <v>0</v>
      </c>
      <c r="E50" s="18" t="s">
        <v>37</v>
      </c>
    </row>
  </sheetData>
  <sheetProtection algorithmName="SHA-512" hashValue="qpcELnBlZa6R3qvggB+N/Voege8R3hHnWBulcgjcjXjLtWATdzCTlHTyOhs+k1NiA4c+2N1kW3+djStKW33ZAw==" saltValue="1AjNQnxX/gILQMI2a/QEHw==" spinCount="100000" sheet="1" selectLockedCells="1"/>
  <mergeCells count="2">
    <mergeCell ref="A50:C50"/>
    <mergeCell ref="B2:H2"/>
  </mergeCells>
  <dataValidations count="9">
    <dataValidation type="decimal" allowBlank="1" showInputMessage="1" showErrorMessage="1" sqref="B7:H7" xr:uid="{D3097816-613A-4D73-8F1C-47B22CCC599B}">
      <formula1>0</formula1>
      <formula2>999999</formula2>
    </dataValidation>
    <dataValidation type="date" allowBlank="1" showInputMessage="1" showErrorMessage="1" sqref="H4:H5" xr:uid="{57152F71-045E-4F34-B9B1-E42693CE442A}">
      <formula1>44287</formula1>
      <formula2>44651</formula2>
    </dataValidation>
    <dataValidation type="date" allowBlank="1" showInputMessage="1" showErrorMessage="1" sqref="G4:G5" xr:uid="{78D878D4-BCD2-4490-A523-1A3443D2BC2A}">
      <formula1>43922</formula1>
      <formula2>44286</formula2>
    </dataValidation>
    <dataValidation type="date" allowBlank="1" showInputMessage="1" showErrorMessage="1" sqref="F4:F5" xr:uid="{2D504822-248F-44DE-8DCE-F7613234BC7E}">
      <formula1>43556</formula1>
      <formula2>43921</formula2>
    </dataValidation>
    <dataValidation type="date" allowBlank="1" showInputMessage="1" showErrorMessage="1" sqref="E4:E5" xr:uid="{E6EEE41F-C56A-48A3-8604-C58BB863009E}">
      <formula1>43191</formula1>
      <formula2>43555</formula2>
    </dataValidation>
    <dataValidation type="date" allowBlank="1" showInputMessage="1" showErrorMessage="1" sqref="D4:D5" xr:uid="{D7227D2C-726F-4550-8DE2-3A2C747D14CF}">
      <formula1>42826</formula1>
      <formula2>43190</formula2>
    </dataValidation>
    <dataValidation type="date" allowBlank="1" showInputMessage="1" showErrorMessage="1" sqref="C4:C5" xr:uid="{B5A087A9-38C0-4E2D-B977-1300A85FF579}">
      <formula1>42461</formula1>
      <formula2>42825</formula2>
    </dataValidation>
    <dataValidation type="date" allowBlank="1" showInputMessage="1" showErrorMessage="1" sqref="B4:B5" xr:uid="{CB130BE9-4133-4D5C-9239-321FBBF996C4}">
      <formula1>42095</formula1>
      <formula2>42460</formula2>
    </dataValidation>
    <dataValidation type="decimal" allowBlank="1" showInputMessage="1" showErrorMessage="1" sqref="B9:H9" xr:uid="{B8C80178-C94B-4BB9-B592-C85DE19EF434}">
      <formula1>0</formula1>
      <formula2>40</formula2>
    </dataValidation>
  </dataValidations>
  <pageMargins left="0.70866141732283472" right="0.70866141732283472" top="0.74803149606299213" bottom="0.74803149606299213" header="0.31496062992125984" footer="0.31496062992125984"/>
  <pageSetup paperSize="9" scale="81" orientation="landscape" r:id="rId1"/>
  <headerFooter>
    <oddFooter>&amp;C&amp;F&amp;R&amp;D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ear">
                <anchor moveWithCells="1" sizeWithCells="1">
                  <from>
                    <xdr:col>1</xdr:col>
                    <xdr:colOff>19050</xdr:colOff>
                    <xdr:row>50</xdr:row>
                    <xdr:rowOff>180975</xdr:rowOff>
                  </from>
                  <to>
                    <xdr:col>2</xdr:col>
                    <xdr:colOff>1266825</xdr:colOff>
                    <xdr:row>53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38AAF41-69F3-4B31-A44C-F3B850BC55DF}">
          <x14:formula1>
            <xm:f>Sheet2!$Y$1:$Y$2</xm:f>
          </x14:formula1>
          <xm:sqref>B8:H8</xm:sqref>
        </x14:dataValidation>
        <x14:dataValidation type="list" allowBlank="1" showInputMessage="1" showErrorMessage="1" xr:uid="{7DFDACA1-1726-4969-A5C3-402B8C46803D}">
          <x14:formula1>
            <xm:f>Sheet2!$B$1:$B$13</xm:f>
          </x14:formula1>
          <xm:sqref>B6:E6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F7B68-9DFF-4CD4-B8C5-C8BE7648B97F}">
  <sheetPr codeName="Sheet3"/>
  <dimension ref="A1:R21"/>
  <sheetViews>
    <sheetView workbookViewId="0"/>
  </sheetViews>
  <sheetFormatPr defaultRowHeight="15" x14ac:dyDescent="0.25"/>
  <cols>
    <col min="1" max="1" width="12.140625" customWidth="1"/>
    <col min="17" max="18" width="10.42578125" bestFit="1" customWidth="1"/>
  </cols>
  <sheetData>
    <row r="1" spans="1:18" ht="30" x14ac:dyDescent="0.25">
      <c r="A1" s="38" t="s">
        <v>38</v>
      </c>
      <c r="B1" s="39" t="s">
        <v>39</v>
      </c>
      <c r="C1" s="39" t="s">
        <v>40</v>
      </c>
      <c r="D1" s="40" t="s">
        <v>41</v>
      </c>
      <c r="E1" s="39" t="s">
        <v>42</v>
      </c>
      <c r="F1" s="40" t="s">
        <v>43</v>
      </c>
      <c r="G1" s="39" t="s">
        <v>44</v>
      </c>
      <c r="H1" s="40" t="s">
        <v>45</v>
      </c>
      <c r="I1" s="39" t="s">
        <v>46</v>
      </c>
      <c r="J1" s="40" t="s">
        <v>47</v>
      </c>
      <c r="K1" s="39" t="s">
        <v>48</v>
      </c>
      <c r="L1" s="40" t="s">
        <v>49</v>
      </c>
      <c r="M1" s="39" t="s">
        <v>50</v>
      </c>
      <c r="N1" s="40" t="s">
        <v>51</v>
      </c>
      <c r="O1" s="39" t="s">
        <v>52</v>
      </c>
      <c r="P1" s="40" t="s">
        <v>53</v>
      </c>
      <c r="Q1" s="10">
        <f ca="1">TODAY()</f>
        <v>46087</v>
      </c>
      <c r="R1" s="10">
        <f ca="1">Q1+28</f>
        <v>46115</v>
      </c>
    </row>
    <row r="2" spans="1:18" x14ac:dyDescent="0.25">
      <c r="A2" s="41">
        <v>45721</v>
      </c>
      <c r="B2" s="42">
        <v>1.0329999999999999</v>
      </c>
      <c r="C2" s="11">
        <f ca="1">$R$1-$A$2</f>
        <v>394</v>
      </c>
      <c r="D2" s="43">
        <f ca="1">B2^(C2/365.25)</f>
        <v>1.0356433076282612</v>
      </c>
      <c r="E2" s="11">
        <f ca="1">$R$1-$A$2</f>
        <v>394</v>
      </c>
      <c r="F2" s="43">
        <f ca="1">B2^(E2/365.25)</f>
        <v>1.0356433076282612</v>
      </c>
      <c r="G2" s="11">
        <f ca="1">$R$1-$A$2</f>
        <v>394</v>
      </c>
      <c r="H2" s="43">
        <f ca="1">B2^(G2/365.25)</f>
        <v>1.0356433076282612</v>
      </c>
      <c r="I2" s="11">
        <f ca="1">$R$1-$A$2</f>
        <v>394</v>
      </c>
      <c r="J2" s="43">
        <f ca="1">B2^(I2/365.25)</f>
        <v>1.0356433076282612</v>
      </c>
      <c r="K2" s="11">
        <f ca="1">$R$1-$A$2</f>
        <v>394</v>
      </c>
      <c r="L2" s="43">
        <f ca="1">B2^(K2/365.25)</f>
        <v>1.0356433076282612</v>
      </c>
      <c r="M2" s="11">
        <f ca="1">$R$1-$A$2</f>
        <v>394</v>
      </c>
      <c r="N2" s="43">
        <f ca="1">B2^(M2/365.25)</f>
        <v>1.0356433076282612</v>
      </c>
      <c r="O2" s="11">
        <f ca="1">$R$1-$A$2</f>
        <v>394</v>
      </c>
      <c r="P2" s="43">
        <f ca="1">B2^(O2/365.25)</f>
        <v>1.0356433076282612</v>
      </c>
      <c r="Q2" s="10"/>
      <c r="R2" s="10"/>
    </row>
    <row r="3" spans="1:18" x14ac:dyDescent="0.25">
      <c r="A3" s="41">
        <v>45646</v>
      </c>
      <c r="B3" s="42">
        <v>1.0349999999999999</v>
      </c>
      <c r="C3" s="11">
        <f t="shared" ref="C3:C5" si="0">$A2-$A3</f>
        <v>75</v>
      </c>
      <c r="D3" s="43">
        <f t="shared" ref="D3:D5" si="1">B3^(C3/365.25)</f>
        <v>1.0070889565234933</v>
      </c>
      <c r="E3" s="11">
        <f t="shared" ref="E3:E5" si="2">$A2-$A3</f>
        <v>75</v>
      </c>
      <c r="F3" s="43">
        <f t="shared" ref="F3:F5" si="3">B3^(E3/365.25)</f>
        <v>1.0070889565234933</v>
      </c>
      <c r="G3" s="11">
        <f t="shared" ref="G3:G5" si="4">$A2-$A3</f>
        <v>75</v>
      </c>
      <c r="H3" s="43">
        <f t="shared" ref="H3:H5" si="5">B3^(G3/365.25)</f>
        <v>1.0070889565234933</v>
      </c>
      <c r="I3" s="11">
        <f t="shared" ref="I3:I5" si="6">$A2-$A3</f>
        <v>75</v>
      </c>
      <c r="J3" s="43">
        <f t="shared" ref="J3:J5" si="7">B3^(I3/365.25)</f>
        <v>1.0070889565234933</v>
      </c>
      <c r="K3" s="11">
        <f t="shared" ref="K3:K5" si="8">$A2-$A3</f>
        <v>75</v>
      </c>
      <c r="L3" s="43">
        <f t="shared" ref="L3:L5" si="9">B3^(K3/365.25)</f>
        <v>1.0070889565234933</v>
      </c>
      <c r="M3" s="11">
        <f t="shared" ref="M3:M5" si="10">$A2-$A3</f>
        <v>75</v>
      </c>
      <c r="N3" s="43">
        <f t="shared" ref="N3:N5" si="11">B3^(M3/365.25)</f>
        <v>1.0070889565234933</v>
      </c>
      <c r="O3" s="11">
        <f t="shared" ref="O3:O5" si="12">$A2-$A3</f>
        <v>75</v>
      </c>
      <c r="P3" s="43">
        <f t="shared" ref="P3:P5" si="13">B3^(O3/365.25)</f>
        <v>1.0070889565234933</v>
      </c>
      <c r="Q3" s="10"/>
      <c r="R3" s="10"/>
    </row>
    <row r="4" spans="1:18" x14ac:dyDescent="0.25">
      <c r="A4" s="41">
        <v>45616</v>
      </c>
      <c r="B4" s="42">
        <v>1.0375000000000001</v>
      </c>
      <c r="C4" s="11">
        <f t="shared" si="0"/>
        <v>30</v>
      </c>
      <c r="D4" s="43">
        <f t="shared" si="1"/>
        <v>1.0030283110564349</v>
      </c>
      <c r="E4" s="11">
        <f t="shared" si="2"/>
        <v>30</v>
      </c>
      <c r="F4" s="43">
        <f t="shared" si="3"/>
        <v>1.0030283110564349</v>
      </c>
      <c r="G4" s="11">
        <f t="shared" si="4"/>
        <v>30</v>
      </c>
      <c r="H4" s="43">
        <f t="shared" si="5"/>
        <v>1.0030283110564349</v>
      </c>
      <c r="I4" s="11">
        <f t="shared" si="6"/>
        <v>30</v>
      </c>
      <c r="J4" s="43">
        <f t="shared" si="7"/>
        <v>1.0030283110564349</v>
      </c>
      <c r="K4" s="11">
        <f t="shared" si="8"/>
        <v>30</v>
      </c>
      <c r="L4" s="43">
        <f t="shared" si="9"/>
        <v>1.0030283110564349</v>
      </c>
      <c r="M4" s="11">
        <f t="shared" si="10"/>
        <v>30</v>
      </c>
      <c r="N4" s="43">
        <f t="shared" si="11"/>
        <v>1.0030283110564349</v>
      </c>
      <c r="O4" s="11">
        <f t="shared" si="12"/>
        <v>30</v>
      </c>
      <c r="P4" s="43">
        <f t="shared" si="13"/>
        <v>1.0030283110564349</v>
      </c>
    </row>
    <row r="5" spans="1:18" x14ac:dyDescent="0.25">
      <c r="A5" s="41">
        <v>45435</v>
      </c>
      <c r="B5" s="42">
        <v>1.04</v>
      </c>
      <c r="C5" s="11">
        <f t="shared" si="0"/>
        <v>181</v>
      </c>
      <c r="D5" s="43">
        <f t="shared" si="1"/>
        <v>1.0196259693476684</v>
      </c>
      <c r="E5" s="11">
        <f t="shared" si="2"/>
        <v>181</v>
      </c>
      <c r="F5" s="43">
        <f t="shared" si="3"/>
        <v>1.0196259693476684</v>
      </c>
      <c r="G5" s="11">
        <f t="shared" si="4"/>
        <v>181</v>
      </c>
      <c r="H5" s="43">
        <f t="shared" si="5"/>
        <v>1.0196259693476684</v>
      </c>
      <c r="I5" s="11">
        <f t="shared" si="6"/>
        <v>181</v>
      </c>
      <c r="J5" s="43">
        <f t="shared" si="7"/>
        <v>1.0196259693476684</v>
      </c>
      <c r="K5" s="11">
        <f t="shared" si="8"/>
        <v>181</v>
      </c>
      <c r="L5" s="43">
        <f t="shared" si="9"/>
        <v>1.0196259693476684</v>
      </c>
      <c r="M5" s="11">
        <f t="shared" si="10"/>
        <v>181</v>
      </c>
      <c r="N5" s="43">
        <f t="shared" si="11"/>
        <v>1.0196259693476684</v>
      </c>
      <c r="O5" s="11">
        <f t="shared" si="12"/>
        <v>181</v>
      </c>
      <c r="P5" s="43">
        <f t="shared" si="13"/>
        <v>1.0196259693476684</v>
      </c>
    </row>
    <row r="6" spans="1:18" x14ac:dyDescent="0.25">
      <c r="A6" s="8">
        <v>45156</v>
      </c>
      <c r="B6" s="44">
        <v>1.0365</v>
      </c>
      <c r="C6" s="11">
        <f t="shared" ref="C6" si="14">$A5-$A6</f>
        <v>279</v>
      </c>
      <c r="D6" s="43">
        <f t="shared" ref="D6" si="15">B6^(C6/365.25)</f>
        <v>1.0277625204493888</v>
      </c>
      <c r="E6" s="11">
        <f t="shared" ref="E6" si="16">$A5-$A6</f>
        <v>279</v>
      </c>
      <c r="F6" s="43">
        <f t="shared" ref="F6" si="17">B6^(E6/365.25)</f>
        <v>1.0277625204493888</v>
      </c>
      <c r="G6" s="11">
        <f t="shared" ref="G6" si="18">$A5-$A6</f>
        <v>279</v>
      </c>
      <c r="H6" s="43">
        <f t="shared" ref="H6" si="19">B6^(G6/365.25)</f>
        <v>1.0277625204493888</v>
      </c>
      <c r="I6" s="11">
        <f t="shared" ref="I6" si="20">$A5-$A6</f>
        <v>279</v>
      </c>
      <c r="J6" s="43">
        <f t="shared" ref="J6" si="21">B6^(I6/365.25)</f>
        <v>1.0277625204493888</v>
      </c>
      <c r="K6" s="11">
        <f t="shared" ref="K6" si="22">$A5-$A6</f>
        <v>279</v>
      </c>
      <c r="L6" s="43">
        <f t="shared" ref="L6" si="23">B6^(K6/365.25)</f>
        <v>1.0277625204493888</v>
      </c>
      <c r="M6" s="11">
        <f t="shared" ref="M6" si="24">$A5-$A6</f>
        <v>279</v>
      </c>
      <c r="N6" s="43">
        <f t="shared" ref="N6" si="25">B6^(M6/365.25)</f>
        <v>1.0277625204493888</v>
      </c>
      <c r="O6" s="11">
        <f t="shared" ref="O6" si="26">$A5-$A6</f>
        <v>279</v>
      </c>
      <c r="P6" s="43">
        <f t="shared" ref="P6" si="27">B6^(O6/365.25)</f>
        <v>1.0277625204493888</v>
      </c>
    </row>
    <row r="7" spans="1:18" x14ac:dyDescent="0.25">
      <c r="A7" s="8">
        <v>45090</v>
      </c>
      <c r="B7" s="44">
        <v>1.034</v>
      </c>
      <c r="C7" s="11">
        <f t="shared" ref="C7:O10" si="28">$A6-$A7</f>
        <v>66</v>
      </c>
      <c r="D7" s="43">
        <f t="shared" ref="D7:D20" si="29">B7^(C7/365.25)</f>
        <v>1.0060598895381661</v>
      </c>
      <c r="E7" s="11">
        <f t="shared" si="28"/>
        <v>66</v>
      </c>
      <c r="F7" s="43">
        <f t="shared" ref="F7:F20" si="30">B7^(E7/365.25)</f>
        <v>1.0060598895381661</v>
      </c>
      <c r="G7" s="11">
        <f t="shared" si="28"/>
        <v>66</v>
      </c>
      <c r="H7" s="43">
        <f t="shared" ref="H7:H20" si="31">B7^(G7/365.25)</f>
        <v>1.0060598895381661</v>
      </c>
      <c r="I7" s="11">
        <f t="shared" si="28"/>
        <v>66</v>
      </c>
      <c r="J7" s="43">
        <f t="shared" ref="J7:J20" si="32">B7^(I7/365.25)</f>
        <v>1.0060598895381661</v>
      </c>
      <c r="K7" s="11">
        <f t="shared" si="28"/>
        <v>66</v>
      </c>
      <c r="L7" s="43">
        <f t="shared" ref="L7:L20" si="33">B7^(K7/365.25)</f>
        <v>1.0060598895381661</v>
      </c>
      <c r="M7" s="11">
        <f t="shared" si="28"/>
        <v>66</v>
      </c>
      <c r="N7" s="43">
        <f t="shared" ref="N7:N20" si="34">B7^(M7/365.25)</f>
        <v>1.0060598895381661</v>
      </c>
      <c r="O7" s="11">
        <f t="shared" si="28"/>
        <v>66</v>
      </c>
      <c r="P7" s="43">
        <f t="shared" ref="P7:P20" si="35">B7^(O7/365.25)</f>
        <v>1.0060598895381661</v>
      </c>
    </row>
    <row r="8" spans="1:18" x14ac:dyDescent="0.25">
      <c r="A8" s="8">
        <v>44971</v>
      </c>
      <c r="B8" s="44">
        <v>1.0285</v>
      </c>
      <c r="C8" s="11">
        <f t="shared" si="28"/>
        <v>119</v>
      </c>
      <c r="D8" s="43">
        <f t="shared" si="29"/>
        <v>1.0091976055734242</v>
      </c>
      <c r="E8" s="11">
        <f t="shared" si="28"/>
        <v>119</v>
      </c>
      <c r="F8" s="43">
        <f t="shared" si="30"/>
        <v>1.0091976055734242</v>
      </c>
      <c r="G8" s="11">
        <f t="shared" si="28"/>
        <v>119</v>
      </c>
      <c r="H8" s="43">
        <f t="shared" si="31"/>
        <v>1.0091976055734242</v>
      </c>
      <c r="I8" s="11">
        <f t="shared" si="28"/>
        <v>119</v>
      </c>
      <c r="J8" s="43">
        <f t="shared" si="32"/>
        <v>1.0091976055734242</v>
      </c>
      <c r="K8" s="11">
        <f t="shared" si="28"/>
        <v>119</v>
      </c>
      <c r="L8" s="43">
        <f t="shared" si="33"/>
        <v>1.0091976055734242</v>
      </c>
      <c r="M8" s="11">
        <f t="shared" si="28"/>
        <v>119</v>
      </c>
      <c r="N8" s="43">
        <f t="shared" si="34"/>
        <v>1.0091976055734242</v>
      </c>
      <c r="O8" s="11">
        <f t="shared" si="28"/>
        <v>119</v>
      </c>
      <c r="P8" s="43">
        <f t="shared" si="35"/>
        <v>1.0091976055734242</v>
      </c>
    </row>
    <row r="9" spans="1:18" x14ac:dyDescent="0.25">
      <c r="A9" s="8">
        <v>44950</v>
      </c>
      <c r="B9" s="44">
        <v>1.026</v>
      </c>
      <c r="C9" s="11">
        <f t="shared" si="28"/>
        <v>21</v>
      </c>
      <c r="D9" s="43">
        <f t="shared" si="29"/>
        <v>1.0014768531485094</v>
      </c>
      <c r="E9" s="11">
        <f t="shared" si="28"/>
        <v>21</v>
      </c>
      <c r="F9" s="43">
        <f t="shared" si="30"/>
        <v>1.0014768531485094</v>
      </c>
      <c r="G9" s="11">
        <f t="shared" si="28"/>
        <v>21</v>
      </c>
      <c r="H9" s="43">
        <f t="shared" si="31"/>
        <v>1.0014768531485094</v>
      </c>
      <c r="I9" s="11">
        <f t="shared" si="28"/>
        <v>21</v>
      </c>
      <c r="J9" s="43">
        <f t="shared" si="32"/>
        <v>1.0014768531485094</v>
      </c>
      <c r="K9" s="11">
        <f t="shared" si="28"/>
        <v>21</v>
      </c>
      <c r="L9" s="43">
        <f t="shared" si="33"/>
        <v>1.0014768531485094</v>
      </c>
      <c r="M9" s="11">
        <f t="shared" si="28"/>
        <v>21</v>
      </c>
      <c r="N9" s="43">
        <f t="shared" si="34"/>
        <v>1.0014768531485094</v>
      </c>
      <c r="O9" s="11">
        <f t="shared" si="28"/>
        <v>21</v>
      </c>
      <c r="P9" s="43">
        <f t="shared" si="35"/>
        <v>1.0014768531485094</v>
      </c>
    </row>
    <row r="10" spans="1:18" x14ac:dyDescent="0.25">
      <c r="A10" s="8">
        <v>44908</v>
      </c>
      <c r="B10" s="45">
        <v>1.0229999999999999</v>
      </c>
      <c r="C10" s="11">
        <f t="shared" si="28"/>
        <v>42</v>
      </c>
      <c r="D10" s="43">
        <f t="shared" si="29"/>
        <v>1.0026182291273764</v>
      </c>
      <c r="E10" s="11">
        <f t="shared" si="28"/>
        <v>42</v>
      </c>
      <c r="F10" s="43">
        <f t="shared" si="30"/>
        <v>1.0026182291273764</v>
      </c>
      <c r="G10" s="11">
        <f t="shared" si="28"/>
        <v>42</v>
      </c>
      <c r="H10" s="43">
        <f t="shared" si="31"/>
        <v>1.0026182291273764</v>
      </c>
      <c r="I10" s="11">
        <f t="shared" si="28"/>
        <v>42</v>
      </c>
      <c r="J10" s="43">
        <f t="shared" si="32"/>
        <v>1.0026182291273764</v>
      </c>
      <c r="K10" s="11">
        <f t="shared" si="28"/>
        <v>42</v>
      </c>
      <c r="L10" s="43">
        <f t="shared" si="33"/>
        <v>1.0026182291273764</v>
      </c>
      <c r="M10" s="11">
        <f t="shared" si="28"/>
        <v>42</v>
      </c>
      <c r="N10" s="43">
        <f t="shared" si="34"/>
        <v>1.0026182291273764</v>
      </c>
      <c r="O10" s="11">
        <f t="shared" si="28"/>
        <v>42</v>
      </c>
      <c r="P10" s="43">
        <f t="shared" si="35"/>
        <v>1.0026182291273764</v>
      </c>
    </row>
    <row r="11" spans="1:18" x14ac:dyDescent="0.25">
      <c r="A11" s="8">
        <v>44859</v>
      </c>
      <c r="B11" s="45">
        <v>1.018</v>
      </c>
      <c r="C11" s="11">
        <f>$A10-$A11</f>
        <v>49</v>
      </c>
      <c r="D11" s="43">
        <f t="shared" si="29"/>
        <v>1.0023961749099339</v>
      </c>
      <c r="E11" s="11">
        <f>$A10-$A11</f>
        <v>49</v>
      </c>
      <c r="F11" s="43">
        <f t="shared" si="30"/>
        <v>1.0023961749099339</v>
      </c>
      <c r="G11" s="11">
        <f>$A10-$A11</f>
        <v>49</v>
      </c>
      <c r="H11" s="43">
        <f t="shared" si="31"/>
        <v>1.0023961749099339</v>
      </c>
      <c r="I11" s="11">
        <f>$A10-$A11</f>
        <v>49</v>
      </c>
      <c r="J11" s="43">
        <f t="shared" si="32"/>
        <v>1.0023961749099339</v>
      </c>
      <c r="K11" s="11">
        <f>$A10-$A11</f>
        <v>49</v>
      </c>
      <c r="L11" s="43">
        <f t="shared" si="33"/>
        <v>1.0023961749099339</v>
      </c>
      <c r="M11" s="11">
        <f>$A10-$A11</f>
        <v>49</v>
      </c>
      <c r="N11" s="43">
        <f t="shared" si="34"/>
        <v>1.0023961749099339</v>
      </c>
      <c r="O11" s="11">
        <f>$A10-$A11</f>
        <v>49</v>
      </c>
      <c r="P11" s="43">
        <f t="shared" si="35"/>
        <v>1.0023961749099339</v>
      </c>
    </row>
    <row r="12" spans="1:18" x14ac:dyDescent="0.25">
      <c r="A12" s="8">
        <v>44763</v>
      </c>
      <c r="B12" s="45">
        <v>1.012</v>
      </c>
      <c r="C12" s="46">
        <f>IF(Practitioner!$B$16&lt;A11,IF(Practitioner!$B$16&gt;A12,A11-Practitioner!$B$16,A11-A12),0)</f>
        <v>96</v>
      </c>
      <c r="D12" s="43">
        <f t="shared" si="29"/>
        <v>1.0031401500991282</v>
      </c>
      <c r="E12" s="46">
        <f>IF(Practitioner!$C$16&lt;$A11,IF(Practitioner!$C$16&gt;$A12,$A11-Practitioner!$C$16,$A11-$A12),0)</f>
        <v>96</v>
      </c>
      <c r="F12" s="43">
        <f t="shared" si="30"/>
        <v>1.0031401500991282</v>
      </c>
      <c r="G12" s="46">
        <f>IF(Practitioner!$D$16&lt;$A11,IF(Practitioner!$D$16&gt;$A12,$A11-Practitioner!$D$16,$A11-$A12),0)</f>
        <v>96</v>
      </c>
      <c r="H12" s="43">
        <f t="shared" si="31"/>
        <v>1.0031401500991282</v>
      </c>
      <c r="I12" s="46">
        <f>IF(Practitioner!$E$16&lt;$A11,IF(Practitioner!$E$16&gt;$A12,$A11-Practitioner!$E$16,$A11-$A12),0)</f>
        <v>96</v>
      </c>
      <c r="J12" s="43">
        <f t="shared" si="32"/>
        <v>1.0031401500991282</v>
      </c>
      <c r="K12" s="46">
        <f>IF(Practitioner!$F$16&lt;$A11,IF(Practitioner!$F$16&gt;$A12,$A11-Practitioner!$F$16,$A11-$A12),0)</f>
        <v>96</v>
      </c>
      <c r="L12" s="43">
        <f t="shared" si="33"/>
        <v>1.0031401500991282</v>
      </c>
      <c r="M12" s="46">
        <f>IF(Practitioner!$G$16&lt;$A11,IF(Practitioner!$G$16&gt;$A12,$A11-Practitioner!$G$16,$A11-$A12),0)</f>
        <v>96</v>
      </c>
      <c r="N12" s="43">
        <f t="shared" si="34"/>
        <v>1.0031401500991282</v>
      </c>
      <c r="O12" s="46">
        <f>IF(Practitioner!$H$16&lt;$A11,IF(Practitioner!$H$16&gt;$A12,$A11-Practitioner!$H$16,$A11-$A12),0)</f>
        <v>96</v>
      </c>
      <c r="P12" s="43">
        <f t="shared" si="35"/>
        <v>1.0031401500991282</v>
      </c>
    </row>
    <row r="13" spans="1:18" x14ac:dyDescent="0.25">
      <c r="A13" s="8">
        <v>44602</v>
      </c>
      <c r="B13" s="45">
        <v>1.0049999999999999</v>
      </c>
      <c r="C13" s="46">
        <f>IF(Practitioner!$B$16&lt;A12,IF(Practitioner!$B$16&gt;A13,A12-Practitioner!$B$16,A12-A13),0)</f>
        <v>161</v>
      </c>
      <c r="D13" s="43">
        <f t="shared" si="29"/>
        <v>1.0022008966820313</v>
      </c>
      <c r="E13" s="46">
        <f>IF(Practitioner!$C$16&lt;$A12,IF(Practitioner!$C$16&gt;$A13,$A12-Practitioner!$C$16,$A12-$A13),0)</f>
        <v>161</v>
      </c>
      <c r="F13" s="43">
        <f t="shared" si="30"/>
        <v>1.0022008966820313</v>
      </c>
      <c r="G13" s="46">
        <f>IF(Practitioner!$D$16&lt;$A12,IF(Practitioner!$D$16&gt;$A13,$A12-Practitioner!$D$16,$A12-$A13),0)</f>
        <v>161</v>
      </c>
      <c r="H13" s="43">
        <f t="shared" si="31"/>
        <v>1.0022008966820313</v>
      </c>
      <c r="I13" s="46">
        <f>IF(Practitioner!$E$16&lt;$A12,IF(Practitioner!$E$16&gt;$A13,$A12-Practitioner!$E$16,$A12-$A13),0)</f>
        <v>161</v>
      </c>
      <c r="J13" s="43">
        <f t="shared" si="32"/>
        <v>1.0022008966820313</v>
      </c>
      <c r="K13" s="46">
        <f>IF(Practitioner!$F$16&lt;$A12,IF(Practitioner!$F$16&gt;$A13,$A12-Practitioner!$F$16,$A12-$A13),0)</f>
        <v>161</v>
      </c>
      <c r="L13" s="43">
        <f t="shared" si="33"/>
        <v>1.0022008966820313</v>
      </c>
      <c r="M13" s="46">
        <f>IF(Practitioner!$G$16&lt;$A12,IF(Practitioner!$G$16&gt;$A13,$A12-Practitioner!$G$16,$A12-$A13),0)</f>
        <v>161</v>
      </c>
      <c r="N13" s="43">
        <f t="shared" si="34"/>
        <v>1.0022008966820313</v>
      </c>
      <c r="O13" s="46">
        <f>IF(Practitioner!$H$16&lt;$A12,IF(Practitioner!$H$16&gt;$A13,$A12-Practitioner!$H$16,$A12-$A13),0)</f>
        <v>161</v>
      </c>
      <c r="P13" s="43">
        <f t="shared" si="35"/>
        <v>1.0022008966820313</v>
      </c>
    </row>
    <row r="14" spans="1:18" x14ac:dyDescent="0.25">
      <c r="A14" s="8">
        <v>44559</v>
      </c>
      <c r="B14" s="45">
        <v>1.0035000000000001</v>
      </c>
      <c r="C14" s="46">
        <f>IF(Practitioner!$B$16&lt;A13,IF(Practitioner!$B$16&gt;A14,A13-Practitioner!$B$16,A13-A14),0)</f>
        <v>43</v>
      </c>
      <c r="D14" s="43">
        <f t="shared" si="29"/>
        <v>1.0004114117467395</v>
      </c>
      <c r="E14" s="46">
        <f>IF(Practitioner!$C$16&lt;$A13,IF(Practitioner!$C$16&gt;$A14,$A13-Practitioner!$C$16,$A13-$A14),0)</f>
        <v>43</v>
      </c>
      <c r="F14" s="43">
        <f t="shared" si="30"/>
        <v>1.0004114117467395</v>
      </c>
      <c r="G14" s="46">
        <f>IF(Practitioner!$D$16&lt;$A13,IF(Practitioner!$D$16&gt;$A14,$A13-Practitioner!$D$16,$A13-$A14),0)</f>
        <v>43</v>
      </c>
      <c r="H14" s="43">
        <f t="shared" si="31"/>
        <v>1.0004114117467395</v>
      </c>
      <c r="I14" s="46">
        <f>IF(Practitioner!$E$16&lt;$A13,IF(Practitioner!$E$16&gt;$A14,$A13-Practitioner!$E$16,$A13-$A14),0)</f>
        <v>43</v>
      </c>
      <c r="J14" s="43">
        <f t="shared" si="32"/>
        <v>1.0004114117467395</v>
      </c>
      <c r="K14" s="46">
        <f>IF(Practitioner!$F$16&lt;$A13,IF(Practitioner!$F$16&gt;$A14,$A13-Practitioner!$F$16,$A13-$A14),0)</f>
        <v>43</v>
      </c>
      <c r="L14" s="43">
        <f t="shared" si="33"/>
        <v>1.0004114117467395</v>
      </c>
      <c r="M14" s="46">
        <f>IF(Practitioner!$G$16&lt;$A13,IF(Practitioner!$G$16&gt;$A14,$A13-Practitioner!$G$16,$A13-$A14),0)</f>
        <v>43</v>
      </c>
      <c r="N14" s="43">
        <f t="shared" si="34"/>
        <v>1.0004114117467395</v>
      </c>
      <c r="O14" s="46">
        <f>IF(Practitioner!$H$16&lt;$A13,IF(Practitioner!$H$16&gt;$A14,$A13-Practitioner!$H$16,$A13-$A14),0)</f>
        <v>43</v>
      </c>
      <c r="P14" s="43">
        <f t="shared" si="35"/>
        <v>1.0004114117467395</v>
      </c>
    </row>
    <row r="15" spans="1:18" x14ac:dyDescent="0.25">
      <c r="A15" s="8">
        <v>44159</v>
      </c>
      <c r="B15" s="45">
        <v>1.0015000000000001</v>
      </c>
      <c r="C15" s="46">
        <f>IF(Practitioner!$B$16&lt;A14,IF(Practitioner!$B$16&gt;A15,A14-Practitioner!$B$16,A14-A15),0)</f>
        <v>400</v>
      </c>
      <c r="D15" s="43">
        <f t="shared" si="29"/>
        <v>1.0016428276352789</v>
      </c>
      <c r="E15" s="46">
        <f>IF(Practitioner!$C$16&lt;$A14,IF(Practitioner!$C$16&gt;$A15,$A14-Practitioner!$C$16,$A14-$A15),0)</f>
        <v>400</v>
      </c>
      <c r="F15" s="43">
        <f t="shared" si="30"/>
        <v>1.0016428276352789</v>
      </c>
      <c r="G15" s="46">
        <f>IF(Practitioner!$D$16&lt;$A14,IF(Practitioner!$D$16&gt;$A15,$A14-Practitioner!$D$16,$A14-$A15),0)</f>
        <v>400</v>
      </c>
      <c r="H15" s="43">
        <f t="shared" si="31"/>
        <v>1.0016428276352789</v>
      </c>
      <c r="I15" s="46">
        <f>IF(Practitioner!$E$16&lt;$A14,IF(Practitioner!$E$16&gt;$A15,$A14-Practitioner!$E$16,$A14-$A15),0)</f>
        <v>400</v>
      </c>
      <c r="J15" s="43">
        <f t="shared" si="32"/>
        <v>1.0016428276352789</v>
      </c>
      <c r="K15" s="46">
        <f>IF(Practitioner!$F$16&lt;$A14,IF(Practitioner!$F$16&gt;$A15,$A14-Practitioner!$F$16,$A14-$A15),0)</f>
        <v>400</v>
      </c>
      <c r="L15" s="43">
        <f t="shared" si="33"/>
        <v>1.0016428276352789</v>
      </c>
      <c r="M15" s="46">
        <f>IF(Practitioner!$G$16&lt;$A14,IF(Practitioner!$G$16&gt;$A15,$A14-Practitioner!$G$16,$A14-$A15),0)</f>
        <v>400</v>
      </c>
      <c r="N15" s="43">
        <f t="shared" si="34"/>
        <v>1.0016428276352789</v>
      </c>
      <c r="O15" s="46">
        <f>IF(Practitioner!$H$16&lt;$A14,IF(Practitioner!$H$16&gt;$A15,$A14-Practitioner!$H$16,$A14-$A15),0)</f>
        <v>272.5</v>
      </c>
      <c r="P15" s="43">
        <f t="shared" si="35"/>
        <v>1.001118883508872</v>
      </c>
    </row>
    <row r="16" spans="1:18" x14ac:dyDescent="0.25">
      <c r="A16" s="8">
        <v>43374</v>
      </c>
      <c r="B16" s="45">
        <v>1.01</v>
      </c>
      <c r="C16" s="46">
        <f>IF(Practitioner!$B$16&lt;A15,IF(Practitioner!$B$16&gt;A16,A15-Practitioner!$B$16,A15-A16),0)</f>
        <v>785</v>
      </c>
      <c r="D16" s="43">
        <f t="shared" si="29"/>
        <v>1.0216156851265583</v>
      </c>
      <c r="E16" s="46">
        <f>IF(Practitioner!$C$16&lt;$A15,IF(Practitioner!$C$16&gt;$A16,$A15-Practitioner!$C$16,$A15-$A16),0)</f>
        <v>785</v>
      </c>
      <c r="F16" s="43">
        <f t="shared" si="30"/>
        <v>1.0216156851265583</v>
      </c>
      <c r="G16" s="46">
        <f>IF(Practitioner!$D$16&lt;$A15,IF(Practitioner!$D$16&gt;$A16,$A15-Practitioner!$D$16,$A15-$A16),0)</f>
        <v>785</v>
      </c>
      <c r="H16" s="43">
        <f t="shared" si="31"/>
        <v>1.0216156851265583</v>
      </c>
      <c r="I16" s="46">
        <f>IF(Practitioner!$E$16&lt;$A15,IF(Practitioner!$E$16&gt;$A16,$A15-Practitioner!$E$16,$A15-$A16),0)</f>
        <v>785</v>
      </c>
      <c r="J16" s="43">
        <f t="shared" si="32"/>
        <v>1.0216156851265583</v>
      </c>
      <c r="K16" s="46">
        <f>IF(Practitioner!$F$16&lt;$A15,IF(Practitioner!$F$16&gt;$A16,$A15-Practitioner!$F$16,$A15-$A16),0)</f>
        <v>603.5</v>
      </c>
      <c r="L16" s="43">
        <f t="shared" si="33"/>
        <v>1.0165767562033723</v>
      </c>
      <c r="M16" s="46">
        <f>IF(Practitioner!$G$16&lt;$A15,IF(Practitioner!$G$16&gt;$A16,$A15-Practitioner!$G$16,$A15-$A16),0)</f>
        <v>237.5</v>
      </c>
      <c r="N16" s="43">
        <f t="shared" si="34"/>
        <v>1.0064910750794251</v>
      </c>
      <c r="O16" s="46">
        <f>IF(Practitioner!$H$16&lt;$A15,IF(Practitioner!$H$16&gt;$A16,$A15-Practitioner!$H$16,$A15-$A16),0)</f>
        <v>0</v>
      </c>
      <c r="P16" s="43">
        <f t="shared" si="35"/>
        <v>1</v>
      </c>
    </row>
    <row r="17" spans="1:16" x14ac:dyDescent="0.25">
      <c r="A17" s="8">
        <v>43070</v>
      </c>
      <c r="B17" s="45">
        <v>1.0095000000000001</v>
      </c>
      <c r="C17" s="46">
        <f>IF(Practitioner!$B$16&lt;A16,IF(Practitioner!$B$16&gt;A17,A16-Practitioner!$B$16,A16-A17),0)</f>
        <v>304</v>
      </c>
      <c r="D17" s="43">
        <f t="shared" si="29"/>
        <v>1.0079006380429596</v>
      </c>
      <c r="E17" s="46">
        <f>IF(Practitioner!$C$16&lt;$A16,IF(Practitioner!$C$16&gt;$A17,$A16-Practitioner!$C$16,$A16-$A17),0)</f>
        <v>304</v>
      </c>
      <c r="F17" s="43">
        <f t="shared" si="30"/>
        <v>1.0079006380429596</v>
      </c>
      <c r="G17" s="46">
        <f>IF(Practitioner!$D$16&lt;$A16,IF(Practitioner!$D$16&gt;$A17,$A16-Practitioner!$D$16,$A16-$A17),0)</f>
        <v>304</v>
      </c>
      <c r="H17" s="43">
        <f t="shared" si="31"/>
        <v>1.0079006380429596</v>
      </c>
      <c r="I17" s="46">
        <f>IF(Practitioner!$E$16&lt;$A16,IF(Practitioner!$E$16&gt;$A17,$A16-Practitioner!$E$16,$A16-$A17),0)</f>
        <v>183.5</v>
      </c>
      <c r="J17" s="43">
        <f t="shared" si="32"/>
        <v>1.0047615305775157</v>
      </c>
      <c r="K17" s="46">
        <f>IF(Practitioner!$F$16&lt;$A16,IF(Practitioner!$F$16&gt;$A17,$A16-Practitioner!$F$16,$A16-$A17),0)</f>
        <v>0</v>
      </c>
      <c r="L17" s="43">
        <f t="shared" si="33"/>
        <v>1</v>
      </c>
      <c r="M17" s="46">
        <f>IF(Practitioner!$G$16&lt;$A16,IF(Practitioner!$G$16&gt;$A17,$A16-Practitioner!$G$16,$A16-$A17),0)</f>
        <v>0</v>
      </c>
      <c r="N17" s="43">
        <f t="shared" si="34"/>
        <v>1</v>
      </c>
      <c r="O17" s="46">
        <f>IF(Practitioner!$H$16&lt;$A16,IF(Practitioner!$H$16&gt;$A17,$A16-Practitioner!$H$16,$A16-$A17),0)</f>
        <v>0</v>
      </c>
      <c r="P17" s="43">
        <f t="shared" si="35"/>
        <v>1</v>
      </c>
    </row>
    <row r="18" spans="1:16" x14ac:dyDescent="0.25">
      <c r="A18" s="8">
        <v>42856</v>
      </c>
      <c r="B18" s="45">
        <v>1.0069999999999999</v>
      </c>
      <c r="C18" s="46">
        <f>IF(Practitioner!$B$16&lt;A17,IF(Practitioner!$B$16&gt;A18,A17-Practitioner!$B$16,A17-A18),0)</f>
        <v>214</v>
      </c>
      <c r="D18" s="43">
        <f t="shared" si="29"/>
        <v>1.0040953757911364</v>
      </c>
      <c r="E18" s="46">
        <f>IF(Practitioner!$C$16&lt;$A17,IF(Practitioner!$C$16&gt;$A18,$A17-Practitioner!$C$16,$A17-$A18),0)</f>
        <v>214</v>
      </c>
      <c r="F18" s="43">
        <f t="shared" si="30"/>
        <v>1.0040953757911364</v>
      </c>
      <c r="G18" s="46">
        <f>IF(Practitioner!$D$16&lt;$A17,IF(Practitioner!$D$16&gt;$A18,$A17-Practitioner!$D$16,$A17-$A18),0)</f>
        <v>214</v>
      </c>
      <c r="H18" s="43">
        <f t="shared" si="31"/>
        <v>1.0040953757911364</v>
      </c>
      <c r="I18" s="46">
        <f>IF(Practitioner!$E$16&lt;$A17,IF(Practitioner!$E$16&gt;$A18,$A17-Practitioner!$E$16,$A17-$A18),0)</f>
        <v>0</v>
      </c>
      <c r="J18" s="43">
        <f t="shared" si="32"/>
        <v>1</v>
      </c>
      <c r="K18" s="46">
        <f>IF(Practitioner!$F$16&lt;$A17,IF(Practitioner!$F$16&gt;$A18,$A17-Practitioner!$F$16,$A17-$A18),0)</f>
        <v>0</v>
      </c>
      <c r="L18" s="43">
        <f t="shared" si="33"/>
        <v>1</v>
      </c>
      <c r="M18" s="46">
        <f>IF(Practitioner!$G$16&lt;$A17,IF(Practitioner!$G$16&gt;$A18,$A17-Practitioner!$G$16,$A17-$A18),0)</f>
        <v>0</v>
      </c>
      <c r="N18" s="43">
        <f t="shared" si="34"/>
        <v>1</v>
      </c>
      <c r="O18" s="46">
        <f>IF(Practitioner!$H$16&lt;$A17,IF(Practitioner!$H$16&gt;$A18,$A17-Practitioner!$H$16,$A17-$A18),0)</f>
        <v>0</v>
      </c>
      <c r="P18" s="43">
        <f t="shared" si="35"/>
        <v>1</v>
      </c>
    </row>
    <row r="19" spans="1:16" x14ac:dyDescent="0.25">
      <c r="A19" s="8">
        <v>42527</v>
      </c>
      <c r="B19" s="45">
        <v>1.008</v>
      </c>
      <c r="C19" s="46">
        <f>IF(Practitioner!$B$16&lt;A18,IF(Practitioner!$B$16&gt;A19,A18-Practitioner!$B$16,A18-A19),0)</f>
        <v>329</v>
      </c>
      <c r="D19" s="43">
        <f t="shared" si="29"/>
        <v>1.0072031709149722</v>
      </c>
      <c r="E19" s="46">
        <f>IF(Practitioner!$C$16&lt;$A18,IF(Practitioner!$C$16&gt;$A19,$A18-Practitioner!$C$16,$A18-$A19),0)</f>
        <v>329</v>
      </c>
      <c r="F19" s="43">
        <f t="shared" si="30"/>
        <v>1.0072031709149722</v>
      </c>
      <c r="G19" s="46">
        <f>IF(Practitioner!$D$16&lt;$A18,IF(Practitioner!$D$16&gt;$A19,$A18-Practitioner!$D$16,$A18-$A19),0)</f>
        <v>30.5</v>
      </c>
      <c r="H19" s="43">
        <f t="shared" si="31"/>
        <v>1.0006655990289441</v>
      </c>
      <c r="I19" s="46">
        <f>IF(Practitioner!$E$16&lt;$A18,IF(Practitioner!$E$16&gt;$A19,$A18-Practitioner!$E$16,$A18-$A19),0)</f>
        <v>0</v>
      </c>
      <c r="J19" s="43">
        <f t="shared" si="32"/>
        <v>1</v>
      </c>
      <c r="K19" s="46">
        <f>IF(Practitioner!$F$16&lt;$A18,IF(Practitioner!$F$16&gt;$A19,$A18-Practitioner!$F$16,$A18-$A19),0)</f>
        <v>0</v>
      </c>
      <c r="L19" s="43">
        <f t="shared" si="33"/>
        <v>1</v>
      </c>
      <c r="M19" s="46">
        <f>IF(Practitioner!$G$16&lt;$A18,IF(Practitioner!$G$16&gt;$A19,$A18-Practitioner!$G$16,$A18-$A19),0)</f>
        <v>0</v>
      </c>
      <c r="N19" s="43">
        <f t="shared" si="34"/>
        <v>1</v>
      </c>
      <c r="O19" s="46">
        <f>IF(Practitioner!$H$16&lt;$A18,IF(Practitioner!$H$16&gt;$A19,$A18-Practitioner!$H$16,$A18-$A19),0)</f>
        <v>0</v>
      </c>
      <c r="P19" s="43">
        <f t="shared" si="35"/>
        <v>1</v>
      </c>
    </row>
    <row r="20" spans="1:16" x14ac:dyDescent="0.25">
      <c r="A20" s="8">
        <v>42095</v>
      </c>
      <c r="B20" s="45">
        <v>1.0109999999999999</v>
      </c>
      <c r="C20" s="46">
        <f>IF(Practitioner!$B$16&lt;A19,IF(Practitioner!$B$16&gt;A20,A19-Practitioner!$B$16,A19-A20),0)</f>
        <v>432</v>
      </c>
      <c r="D20" s="43">
        <f t="shared" si="29"/>
        <v>1.0130233050034256</v>
      </c>
      <c r="E20" s="46">
        <f>IF(Practitioner!$C$16&lt;$A19,IF(Practitioner!$C$16&gt;$A20,$A19-Practitioner!$C$16,$A19-$A20),0)</f>
        <v>66.5</v>
      </c>
      <c r="F20" s="43">
        <f t="shared" si="30"/>
        <v>1.001993787866178</v>
      </c>
      <c r="G20" s="46">
        <f>IF(Practitioner!$D$16&lt;$A19,IF(Practitioner!$D$16&gt;$A20,$A19-Practitioner!$D$16,$A19-$A20),0)</f>
        <v>0</v>
      </c>
      <c r="H20" s="43">
        <f t="shared" si="31"/>
        <v>1</v>
      </c>
      <c r="I20" s="46">
        <f>IF(Practitioner!$E$16&lt;$A19,IF(Practitioner!$E$16&gt;$A20,$A19-Practitioner!$E$16,$A19-$A20),0)</f>
        <v>0</v>
      </c>
      <c r="J20" s="43">
        <f t="shared" si="32"/>
        <v>1</v>
      </c>
      <c r="K20" s="46">
        <f>IF(Practitioner!$F$16&lt;$A19,IF(Practitioner!$F$16&gt;$A20,$A19-Practitioner!$F$16,$A19-$A20),0)</f>
        <v>0</v>
      </c>
      <c r="L20" s="43">
        <f t="shared" si="33"/>
        <v>1</v>
      </c>
      <c r="M20" s="46">
        <f>IF(Practitioner!$G$16&lt;$A19,IF(Practitioner!$G$16&gt;$A20,$A19-Practitioner!$G$16,$A19-$A20),0)</f>
        <v>0</v>
      </c>
      <c r="N20" s="43">
        <f t="shared" si="34"/>
        <v>1</v>
      </c>
      <c r="O20" s="46">
        <f>IF(Practitioner!$H$16&lt;$A19,IF(Practitioner!$H$16&gt;$A20,$A19-Practitioner!$H$16,$A19-$A20),0)</f>
        <v>0</v>
      </c>
      <c r="P20" s="43">
        <f t="shared" si="35"/>
        <v>1</v>
      </c>
    </row>
    <row r="21" spans="1:16" x14ac:dyDescent="0.25">
      <c r="D21" s="47">
        <f ca="1">D2*D3*D4*D5*D6*D7*D8*D9*D10*D11*D12*D13*D14*D15*D16*D17*D18*D19*D20</f>
        <v>1.1905990583047539</v>
      </c>
      <c r="E21" s="47"/>
      <c r="F21" s="47">
        <f t="shared" ref="F21:P21" ca="1" si="36">F2*F3*F4*F5*F6*F7*F8*F9*F10*F11*F12*F13*F14*F15*F16*F17*F18*F19*F20</f>
        <v>1.1776361455540756</v>
      </c>
      <c r="G21" s="47"/>
      <c r="H21" s="47">
        <f t="shared" ca="1" si="36"/>
        <v>1.1676642495350322</v>
      </c>
      <c r="I21" s="47"/>
      <c r="J21" s="47">
        <f t="shared" ca="1" si="36"/>
        <v>1.1585087691220839</v>
      </c>
      <c r="K21" s="47"/>
      <c r="L21" s="47">
        <f t="shared" ca="1" si="36"/>
        <v>1.1473315861509017</v>
      </c>
      <c r="M21" s="47"/>
      <c r="N21" s="47">
        <f t="shared" ca="1" si="36"/>
        <v>1.1359486576600248</v>
      </c>
      <c r="O21" s="47"/>
      <c r="P21" s="47">
        <f t="shared" ca="1" si="36"/>
        <v>1.1280323177305505</v>
      </c>
    </row>
  </sheetData>
  <sheetProtection algorithmName="SHA-512" hashValue="1ZYtK110ntZJ0LYSMObya0HA51Xdw2cezin2n7GTiL1Lc5fbh6w9mhB+3M8IpGjDPt/vSuAGUXPX7kX+FfLboA==" saltValue="aL5pCYWXn3qsy3XLWDW5GA==" spinCount="100000" sheet="1" objects="1" scenarios="1"/>
  <pageMargins left="0.7" right="0.7" top="0.75" bottom="0.75" header="0.3" footer="0.3"/>
  <ignoredErrors>
    <ignoredError sqref="F7:N11 D7:D11 D2:N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827B4-BE21-4E9F-A08E-5ED92AA0D096}">
  <sheetPr codeName="Sheet2"/>
  <dimension ref="A1:Y23"/>
  <sheetViews>
    <sheetView topLeftCell="F1" zoomScale="120" zoomScaleNormal="120" workbookViewId="0">
      <selection activeCell="M5" sqref="M5"/>
    </sheetView>
  </sheetViews>
  <sheetFormatPr defaultRowHeight="15" x14ac:dyDescent="0.25"/>
  <cols>
    <col min="16" max="16" width="10.7109375" bestFit="1" customWidth="1"/>
    <col min="19" max="19" width="10.7109375" bestFit="1" customWidth="1"/>
    <col min="20" max="21" width="15.5703125" customWidth="1"/>
    <col min="23" max="24" width="10.7109375" bestFit="1" customWidth="1"/>
  </cols>
  <sheetData>
    <row r="1" spans="1:25" ht="30" x14ac:dyDescent="0.25">
      <c r="A1" t="s">
        <v>54</v>
      </c>
      <c r="B1">
        <v>0</v>
      </c>
      <c r="D1" t="s">
        <v>55</v>
      </c>
      <c r="E1" t="s">
        <v>56</v>
      </c>
      <c r="F1" t="s">
        <v>57</v>
      </c>
      <c r="G1" t="s">
        <v>58</v>
      </c>
      <c r="K1" s="1">
        <v>0</v>
      </c>
      <c r="L1" s="1">
        <v>0.2</v>
      </c>
      <c r="M1" s="1">
        <v>0.4</v>
      </c>
      <c r="N1" s="1">
        <v>0.45</v>
      </c>
      <c r="P1" t="s">
        <v>59</v>
      </c>
      <c r="S1" s="6" t="s">
        <v>38</v>
      </c>
      <c r="T1" s="7" t="s">
        <v>39</v>
      </c>
      <c r="U1" s="7"/>
      <c r="W1" s="10">
        <f ca="1">TODAY()</f>
        <v>46087</v>
      </c>
      <c r="X1" s="10">
        <f ca="1">W1+28</f>
        <v>46115</v>
      </c>
      <c r="Y1" t="s">
        <v>14</v>
      </c>
    </row>
    <row r="2" spans="1:25" x14ac:dyDescent="0.25">
      <c r="A2" t="s">
        <v>60</v>
      </c>
      <c r="B2">
        <v>1</v>
      </c>
      <c r="D2">
        <v>1</v>
      </c>
      <c r="E2">
        <v>0</v>
      </c>
      <c r="F2">
        <v>15431.99</v>
      </c>
      <c r="G2" s="1">
        <v>0.05</v>
      </c>
      <c r="J2" s="3" t="s">
        <v>2</v>
      </c>
      <c r="K2" s="4">
        <v>10600</v>
      </c>
      <c r="L2" s="3">
        <v>42385</v>
      </c>
      <c r="M2" s="3">
        <v>150000</v>
      </c>
      <c r="N2" s="2"/>
      <c r="O2" s="12"/>
      <c r="P2" s="1">
        <v>0.14380000000000001</v>
      </c>
      <c r="S2" s="8">
        <v>45156</v>
      </c>
      <c r="T2" s="9">
        <v>3.6499999999999998E-2</v>
      </c>
      <c r="U2" s="11">
        <f ca="1">W1-S2</f>
        <v>931</v>
      </c>
      <c r="Y2" t="s">
        <v>61</v>
      </c>
    </row>
    <row r="3" spans="1:25" x14ac:dyDescent="0.25">
      <c r="B3">
        <v>2</v>
      </c>
      <c r="D3">
        <v>2</v>
      </c>
      <c r="E3">
        <v>15432</v>
      </c>
      <c r="F3">
        <v>21477.99</v>
      </c>
      <c r="G3" s="1">
        <v>5.6000000000000001E-2</v>
      </c>
      <c r="J3" s="3" t="s">
        <v>3</v>
      </c>
      <c r="K3" s="4">
        <v>11000</v>
      </c>
      <c r="L3" s="3">
        <v>43000</v>
      </c>
      <c r="M3" s="3">
        <v>150000</v>
      </c>
      <c r="N3" s="2"/>
      <c r="O3" s="12"/>
      <c r="P3" s="1">
        <v>0.20599999999999999</v>
      </c>
      <c r="S3" s="8">
        <v>45090</v>
      </c>
      <c r="T3" s="9">
        <v>3.4000000000000002E-2</v>
      </c>
      <c r="U3" s="11">
        <f>S2-S3</f>
        <v>66</v>
      </c>
    </row>
    <row r="4" spans="1:25" x14ac:dyDescent="0.25">
      <c r="B4">
        <v>3</v>
      </c>
      <c r="D4">
        <v>3</v>
      </c>
      <c r="E4">
        <v>21478</v>
      </c>
      <c r="F4">
        <v>26823.99</v>
      </c>
      <c r="G4" s="1">
        <v>7.0999999999999994E-2</v>
      </c>
      <c r="J4" s="3" t="s">
        <v>4</v>
      </c>
      <c r="K4" s="4">
        <v>11500</v>
      </c>
      <c r="L4" s="3">
        <v>45000</v>
      </c>
      <c r="M4" s="3">
        <v>150000</v>
      </c>
      <c r="N4" s="2"/>
      <c r="O4" s="12"/>
      <c r="S4" s="8">
        <v>44971</v>
      </c>
      <c r="T4" s="9">
        <v>2.8500000000000001E-2</v>
      </c>
      <c r="U4" s="11">
        <f t="shared" ref="U4:U16" si="0">S3-S4</f>
        <v>119</v>
      </c>
    </row>
    <row r="5" spans="1:25" x14ac:dyDescent="0.25">
      <c r="B5">
        <v>4</v>
      </c>
      <c r="D5">
        <v>4</v>
      </c>
      <c r="E5">
        <v>26824</v>
      </c>
      <c r="F5">
        <v>47846</v>
      </c>
      <c r="G5" s="1">
        <v>9.2999999999999999E-2</v>
      </c>
      <c r="J5" s="3" t="s">
        <v>5</v>
      </c>
      <c r="K5" s="4">
        <v>11850</v>
      </c>
      <c r="L5" s="3">
        <v>46350</v>
      </c>
      <c r="M5" s="3">
        <v>150000</v>
      </c>
      <c r="N5" s="2"/>
      <c r="O5" s="12"/>
      <c r="S5" s="8">
        <v>44950</v>
      </c>
      <c r="T5" s="9">
        <v>2.5999999999999999E-2</v>
      </c>
      <c r="U5" s="11">
        <f t="shared" si="0"/>
        <v>21</v>
      </c>
    </row>
    <row r="6" spans="1:25" x14ac:dyDescent="0.25">
      <c r="B6">
        <v>5</v>
      </c>
      <c r="D6">
        <v>5</v>
      </c>
      <c r="E6">
        <v>47846</v>
      </c>
      <c r="F6">
        <v>70630.990000000005</v>
      </c>
      <c r="G6" s="1">
        <v>0.125</v>
      </c>
      <c r="J6" s="3" t="s">
        <v>6</v>
      </c>
      <c r="K6" s="4">
        <v>12500</v>
      </c>
      <c r="L6" s="3">
        <v>50000</v>
      </c>
      <c r="M6" s="3">
        <v>150000</v>
      </c>
      <c r="N6" s="2"/>
      <c r="O6" s="12"/>
      <c r="S6" s="8">
        <v>44908</v>
      </c>
      <c r="T6" s="5">
        <v>2.3E-2</v>
      </c>
      <c r="U6" s="11">
        <f t="shared" si="0"/>
        <v>42</v>
      </c>
    </row>
    <row r="7" spans="1:25" x14ac:dyDescent="0.25">
      <c r="B7">
        <v>6</v>
      </c>
      <c r="D7">
        <v>6</v>
      </c>
      <c r="E7">
        <v>70631</v>
      </c>
      <c r="F7">
        <v>111376.99</v>
      </c>
      <c r="G7" s="1">
        <v>0.13500000000000001</v>
      </c>
      <c r="J7" s="3" t="s">
        <v>7</v>
      </c>
      <c r="K7" s="4">
        <v>12500</v>
      </c>
      <c r="L7" s="3">
        <v>50000</v>
      </c>
      <c r="M7" s="3">
        <v>150000</v>
      </c>
      <c r="N7" s="2"/>
      <c r="O7" s="12"/>
      <c r="S7" s="8">
        <v>44859</v>
      </c>
      <c r="T7" s="5">
        <v>1.7999999999999999E-2</v>
      </c>
      <c r="U7" s="11">
        <f t="shared" si="0"/>
        <v>49</v>
      </c>
    </row>
    <row r="8" spans="1:25" x14ac:dyDescent="0.25">
      <c r="B8">
        <v>7</v>
      </c>
      <c r="D8">
        <v>7</v>
      </c>
      <c r="E8">
        <v>111377</v>
      </c>
      <c r="F8">
        <v>999999</v>
      </c>
      <c r="G8" s="1">
        <v>0.14499999999999999</v>
      </c>
      <c r="J8" s="3" t="s">
        <v>8</v>
      </c>
      <c r="K8" s="4">
        <v>12570</v>
      </c>
      <c r="L8" s="3">
        <v>50270</v>
      </c>
      <c r="M8" s="3">
        <v>150000</v>
      </c>
      <c r="N8" s="2"/>
      <c r="O8" s="12"/>
      <c r="S8" s="8">
        <v>44763</v>
      </c>
      <c r="T8" s="5">
        <v>1.2E-2</v>
      </c>
      <c r="U8" s="11">
        <f t="shared" si="0"/>
        <v>96</v>
      </c>
      <c r="V8" s="1"/>
    </row>
    <row r="9" spans="1:25" x14ac:dyDescent="0.25">
      <c r="B9">
        <v>8</v>
      </c>
      <c r="S9" s="8">
        <v>44602</v>
      </c>
      <c r="T9" s="5">
        <v>5.0000000000000001E-3</v>
      </c>
      <c r="U9" s="11">
        <f t="shared" si="0"/>
        <v>161</v>
      </c>
      <c r="V9" s="1">
        <f ca="1">(($T$9*$U$9)+($T$8*$U$8)+($T$7*$U$7)+($T$6*$U$6)+($T$5*$U$5)+($T$4*$U$4)+($T$3*$U$3)+($T$2*$U$2))/SUM($U$2:$U$9)</f>
        <v>2.9608080808080806E-2</v>
      </c>
    </row>
    <row r="10" spans="1:25" x14ac:dyDescent="0.25">
      <c r="B10">
        <v>9</v>
      </c>
      <c r="S10" s="8">
        <v>44559</v>
      </c>
      <c r="T10" s="5">
        <v>3.5000000000000001E-3</v>
      </c>
      <c r="U10" s="11">
        <f t="shared" si="0"/>
        <v>43</v>
      </c>
      <c r="V10" s="1">
        <f ca="1">(($T$10*$U$10)+($T$9*$U$9)+($T$8*$U$8)+($T$7*$U$7)+($T$6*$U$6)+($T$5*$U$5)+($T$4*$U$4)+($T$3*$U$3)+($T$2*$U$2))/SUM($U$2:$U$10)</f>
        <v>2.8873363874345546E-2</v>
      </c>
    </row>
    <row r="11" spans="1:25" x14ac:dyDescent="0.25">
      <c r="B11">
        <v>10</v>
      </c>
      <c r="S11" s="8">
        <v>44159</v>
      </c>
      <c r="T11" s="5">
        <v>1.5E-3</v>
      </c>
      <c r="U11" s="11">
        <f t="shared" si="0"/>
        <v>400</v>
      </c>
      <c r="V11" s="1">
        <f ca="1">(($T$11*$U$11)+($T$10*$U$10)+($T$9*$U$9)+($T$8*$U$8)+($T$7*$U$7)+($T$6*$U$6)+($T$5*$U$5)+($T$4*$U$4)+($T$3*$U$3)+($T$2*$U$2))/SUM($U$2:$U$11)</f>
        <v>2.3194242738589211E-2</v>
      </c>
    </row>
    <row r="12" spans="1:25" x14ac:dyDescent="0.25">
      <c r="B12">
        <v>11</v>
      </c>
      <c r="S12" s="8">
        <v>43374</v>
      </c>
      <c r="T12" s="5">
        <v>0.01</v>
      </c>
      <c r="U12" s="11">
        <f t="shared" si="0"/>
        <v>785</v>
      </c>
      <c r="V12" s="1">
        <f ca="1">(($T$12*$U$12)+($T$11*$U$11)+($T$10*$U$10)+($T$9*$U$9)+($T$8*$U$8)+($T$7*$U$7)+($T$6*$U$6)+($T$5*$U$5)+($T$4*$U$4)+($T$3*$U$3)+($T$2*$U$2))/SUM($U$2:$U$12)</f>
        <v>1.9376520457058607E-2</v>
      </c>
    </row>
    <row r="13" spans="1:25" x14ac:dyDescent="0.25">
      <c r="B13">
        <v>12</v>
      </c>
      <c r="S13" s="8">
        <v>43070</v>
      </c>
      <c r="T13" s="5">
        <v>9.4999999999999998E-3</v>
      </c>
      <c r="U13" s="11">
        <f t="shared" si="0"/>
        <v>304</v>
      </c>
      <c r="V13" s="1">
        <f ca="1">(($T$13*$U$13)+($T$12*$U$12)+($T$11*$U$11)+($T$10*$U$10)+($T$9*$U$9)+($T$8*$U$8)+($T$7*$U$7)+($T$6*$U$6)+($T$5*$U$5)+($T$4*$U$4)+($T$3*$U$3)+($T$2*$U$2))/SUM($U$2:$U$13)</f>
        <v>1.8381339078554854E-2</v>
      </c>
    </row>
    <row r="14" spans="1:25" x14ac:dyDescent="0.25">
      <c r="S14" s="8">
        <v>42856</v>
      </c>
      <c r="T14" s="5">
        <v>7.0000000000000001E-3</v>
      </c>
      <c r="U14" s="11">
        <f t="shared" si="0"/>
        <v>214</v>
      </c>
      <c r="V14" s="1">
        <f ca="1">(($T$14*$U$14)+($T$13*$U$13)+($T$12*$U$12)+($T$11*$U$11)+($T$10*$U$10)+($T$9*$U$9)+($T$8*$U$8)+($T$7*$U$7)+($T$6*$U$6)+($T$5*$U$5)+($T$4*$U$4)+($T$3*$U$3)+($T$2*$U$2))/SUM($U$2:$U$14)</f>
        <v>1.7627514701330855E-2</v>
      </c>
    </row>
    <row r="15" spans="1:25" x14ac:dyDescent="0.25">
      <c r="S15" s="8">
        <v>42527</v>
      </c>
      <c r="T15" s="5">
        <v>8.0000000000000002E-3</v>
      </c>
      <c r="U15" s="11">
        <f t="shared" si="0"/>
        <v>329</v>
      </c>
      <c r="V15" s="1">
        <f ca="1">(($T$15*$U$15)+($T$14*$U$14)+($T$13*$U$13)+($T$12*$U$12)+($T$11*$U$11)+($T$10*$U$10)+($T$9*$U$9)+($T$8*$U$8)+($T$7*$U$7)+($T$6*$U$6)+($T$5*$U$5)+($T$4*$U$4)+($T$3*$U$3)+($T$2*$U$2))/SUM($U$2:$U$15)</f>
        <v>1.6737780898876405E-2</v>
      </c>
    </row>
    <row r="16" spans="1:25" x14ac:dyDescent="0.25">
      <c r="S16" s="8">
        <v>42095</v>
      </c>
      <c r="T16" s="5">
        <v>1.0999999999999999E-2</v>
      </c>
      <c r="U16" s="11">
        <f t="shared" si="0"/>
        <v>432</v>
      </c>
      <c r="V16" s="1">
        <f ca="1">(($T$16*$U$16)+($T$15*$U$15)+($T$14*$U$14)+($T$13*$U$13)+($T$12*$U$12)+($T$11*$U$11)+($T$10*$U$10)+($T$9*$U$9)+($T$8*$U$8)+($T$7*$U$7)+($T$6*$U$6)+($T$5*$U$5)+($T$4*$U$4)+($T$3*$U$3)+($T$2*$U$2))/SUM($U$2:$U$16)</f>
        <v>1.6116858717434873E-2</v>
      </c>
    </row>
    <row r="22" spans="16:16" x14ac:dyDescent="0.25">
      <c r="P22" s="10"/>
    </row>
    <row r="23" spans="16:16" x14ac:dyDescent="0.25">
      <c r="P23" s="1"/>
    </row>
  </sheetData>
  <sheetProtection sheet="1" objects="1" scenario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EFE3F2A70A774AA81C66F54E7BF471" ma:contentTypeVersion="11" ma:contentTypeDescription="Create a new document." ma:contentTypeScope="" ma:versionID="75ffbc93104a7043ad232e140e71bc6a">
  <xsd:schema xmlns:xsd="http://www.w3.org/2001/XMLSchema" xmlns:xs="http://www.w3.org/2001/XMLSchema" xmlns:p="http://schemas.microsoft.com/office/2006/metadata/properties" xmlns:ns2="9c395806-f6fc-4c4c-8f7e-33fb8178eadb" xmlns:ns3="eede4106-cd7d-483e-b9ea-54a8c446956c" targetNamespace="http://schemas.microsoft.com/office/2006/metadata/properties" ma:root="true" ma:fieldsID="417a6d2b3e4e6a9d8420519d1582d8cc" ns2:_="" ns3:_="">
    <xsd:import namespace="9c395806-f6fc-4c4c-8f7e-33fb8178eadb"/>
    <xsd:import namespace="eede4106-cd7d-483e-b9ea-54a8c44695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395806-f6fc-4c4c-8f7e-33fb8178ea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2b69053-c3fb-47ab-9000-5ac769dc75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de4106-cd7d-483e-b9ea-54a8c446956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c870a86-258a-4c54-9a06-0f68ecaadddf}" ma:internalName="TaxCatchAll" ma:showField="CatchAllData" ma:web="eede4106-cd7d-483e-b9ea-54a8c44695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395806-f6fc-4c4c-8f7e-33fb8178eadb">
      <Terms xmlns="http://schemas.microsoft.com/office/infopath/2007/PartnerControls"/>
    </lcf76f155ced4ddcb4097134ff3c332f>
    <TaxCatchAll xmlns="eede4106-cd7d-483e-b9ea-54a8c446956c" xsi:nil="true"/>
  </documentManagement>
</p:properties>
</file>

<file path=customXml/itemProps1.xml><?xml version="1.0" encoding="utf-8"?>
<ds:datastoreItem xmlns:ds="http://schemas.openxmlformats.org/officeDocument/2006/customXml" ds:itemID="{ADE0CB31-D8AA-493F-8999-A7E89D6EF1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395806-f6fc-4c4c-8f7e-33fb8178eadb"/>
    <ds:schemaRef ds:uri="eede4106-cd7d-483e-b9ea-54a8c44695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433994-E940-48EF-BF62-5B2E0BA4A9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44D913-C7ED-435F-9012-FE490B2CD9FA}">
  <ds:schemaRefs>
    <ds:schemaRef ds:uri="http://schemas.microsoft.com/office/2006/metadata/properties"/>
    <ds:schemaRef ds:uri="http://purl.org/dc/dcmitype/"/>
    <ds:schemaRef ds:uri="9c395806-f6fc-4c4c-8f7e-33fb8178eadb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ede4106-cd7d-483e-b9ea-54a8c446956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Practitioner</vt:lpstr>
      <vt:lpstr>Sheet1</vt:lpstr>
      <vt:lpstr>Sheet2</vt:lpstr>
      <vt:lpstr>Practitioner!Print_Area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NHS Pensions-Buy back cost calculator-Practitioners</dc:title>
  <dc:subject/>
  <dc:creator>Peter Anderson</dc:creator>
  <cp:keywords/>
  <dc:description/>
  <cp:lastModifiedBy>Beverley Battersby</cp:lastModifiedBy>
  <cp:revision/>
  <dcterms:created xsi:type="dcterms:W3CDTF">2025-03-05T10:24:57Z</dcterms:created>
  <dcterms:modified xsi:type="dcterms:W3CDTF">2026-03-06T12:04:27Z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0x010100BCEFE3F2A70A774AA81C66F54E7BF471</vt:lpwstr>
  </property>
  <property fmtid="{D5CDD505-2E9C-101B-9397-08002B2CF9AE}" pid="3" name="MediaServiceImageTags">
    <vt:lpwstr/>
  </property>
</Properties>
</file>